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alio/Documents/Lab57/"/>
    </mc:Choice>
  </mc:AlternateContent>
  <xr:revisionPtr revIDLastSave="0" documentId="13_ncr:1_{AF8B2CCF-DAE0-1C46-9AC3-3A625300240C}" xr6:coauthVersionLast="47" xr6:coauthVersionMax="47" xr10:uidLastSave="{00000000-0000-0000-0000-000000000000}"/>
  <bookViews>
    <workbookView xWindow="0" yWindow="-21100" windowWidth="38400" windowHeight="21100" xr2:uid="{44FCDCF7-1EA5-AE45-8832-5C1D32D83548}"/>
  </bookViews>
  <sheets>
    <sheet name="Box Calculator" sheetId="3" r:id="rId1"/>
    <sheet name="Official Only" sheetId="4" r:id="rId2"/>
  </sheets>
  <definedNames>
    <definedName name="color" localSheetId="0">'Box Calculator'!$AL$10:$AL$25</definedName>
    <definedName name="colo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9" i="3" l="1"/>
  <c r="K44" i="3"/>
  <c r="K42" i="3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D4" i="4"/>
  <c r="D5" i="4"/>
  <c r="D6" i="4"/>
  <c r="D7" i="4"/>
  <c r="D8" i="4"/>
  <c r="D9" i="4"/>
  <c r="H17" i="3" s="1"/>
  <c r="D10" i="4"/>
  <c r="D11" i="4"/>
  <c r="H15" i="3" s="1"/>
  <c r="D12" i="4"/>
  <c r="D13" i="4"/>
  <c r="D14" i="4"/>
  <c r="D15" i="4"/>
  <c r="D16" i="4"/>
  <c r="D17" i="4"/>
  <c r="D18" i="4"/>
  <c r="D19" i="4"/>
  <c r="D20" i="4"/>
  <c r="D21" i="4"/>
  <c r="D22" i="4"/>
  <c r="D23" i="4"/>
  <c r="D3" i="4"/>
  <c r="J18" i="4"/>
  <c r="J20" i="4"/>
  <c r="Z10" i="3"/>
  <c r="J21" i="4"/>
  <c r="J22" i="4"/>
  <c r="J23" i="4"/>
  <c r="J19" i="4"/>
  <c r="J15" i="4"/>
  <c r="J16" i="4"/>
  <c r="J17" i="4"/>
  <c r="J14" i="4"/>
  <c r="H8" i="4"/>
  <c r="J8" i="4" s="1"/>
  <c r="H9" i="4"/>
  <c r="J9" i="4" s="1"/>
  <c r="H10" i="4"/>
  <c r="J10" i="4" s="1"/>
  <c r="H11" i="4"/>
  <c r="J11" i="4" s="1"/>
  <c r="H12" i="4"/>
  <c r="J12" i="4" s="1"/>
  <c r="H13" i="4"/>
  <c r="J13" i="4" s="1"/>
  <c r="H7" i="4"/>
  <c r="J7" i="4" s="1"/>
  <c r="H4" i="4"/>
  <c r="J4" i="4" s="1"/>
  <c r="H5" i="4"/>
  <c r="J5" i="4" s="1"/>
  <c r="H6" i="4"/>
  <c r="J6" i="4" s="1"/>
  <c r="H3" i="4"/>
  <c r="J3" i="4" s="1"/>
  <c r="K39" i="3"/>
  <c r="O43" i="3" s="1"/>
  <c r="J26" i="3"/>
  <c r="J28" i="3"/>
  <c r="J29" i="3"/>
  <c r="J30" i="3"/>
  <c r="J31" i="3"/>
  <c r="J32" i="3"/>
  <c r="J33" i="3"/>
  <c r="J34" i="3"/>
  <c r="J35" i="3"/>
  <c r="J36" i="3"/>
  <c r="J37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AK32" i="3" l="1"/>
  <c r="H13" i="3"/>
  <c r="AJ24" i="3"/>
  <c r="AK15" i="3"/>
  <c r="AK31" i="3"/>
  <c r="H31" i="3"/>
  <c r="AJ17" i="3"/>
  <c r="AJ33" i="3"/>
  <c r="H24" i="3"/>
  <c r="AJ34" i="3"/>
  <c r="H33" i="3"/>
  <c r="AJ19" i="3"/>
  <c r="AJ27" i="3"/>
  <c r="AJ35" i="3"/>
  <c r="AK18" i="3"/>
  <c r="AK26" i="3"/>
  <c r="AK34" i="3"/>
  <c r="H18" i="3"/>
  <c r="H26" i="3"/>
  <c r="H34" i="3"/>
  <c r="AJ16" i="3"/>
  <c r="AK23" i="3"/>
  <c r="H23" i="3"/>
  <c r="H16" i="3"/>
  <c r="AJ18" i="3"/>
  <c r="AK17" i="3"/>
  <c r="AK33" i="3"/>
  <c r="H25" i="3"/>
  <c r="AJ20" i="3"/>
  <c r="AJ28" i="3"/>
  <c r="AJ36" i="3"/>
  <c r="AK19" i="3"/>
  <c r="AK27" i="3"/>
  <c r="AK35" i="3"/>
  <c r="H19" i="3"/>
  <c r="H27" i="3"/>
  <c r="H35" i="3"/>
  <c r="AJ25" i="3"/>
  <c r="AK16" i="3"/>
  <c r="H32" i="3"/>
  <c r="AJ26" i="3"/>
  <c r="AK25" i="3"/>
  <c r="AJ13" i="3"/>
  <c r="AJ21" i="3"/>
  <c r="AJ29" i="3"/>
  <c r="AJ37" i="3"/>
  <c r="AK20" i="3"/>
  <c r="AK28" i="3"/>
  <c r="AK36" i="3"/>
  <c r="H20" i="3"/>
  <c r="H28" i="3"/>
  <c r="H36" i="3"/>
  <c r="AK24" i="3"/>
  <c r="AJ14" i="3"/>
  <c r="AJ22" i="3"/>
  <c r="AJ30" i="3"/>
  <c r="AK13" i="3"/>
  <c r="AK21" i="3"/>
  <c r="AK29" i="3"/>
  <c r="AK37" i="3"/>
  <c r="H21" i="3"/>
  <c r="H29" i="3"/>
  <c r="H37" i="3"/>
  <c r="AJ32" i="3"/>
  <c r="AJ15" i="3"/>
  <c r="AJ23" i="3"/>
  <c r="AJ31" i="3"/>
  <c r="AK14" i="3"/>
  <c r="AK22" i="3"/>
  <c r="AK30" i="3"/>
  <c r="H14" i="3"/>
  <c r="H22" i="3"/>
  <c r="H30" i="3"/>
  <c r="B30" i="4"/>
  <c r="AC13" i="3" a="1"/>
  <c r="AC13" i="3" s="1"/>
  <c r="AH13" i="3" s="1"/>
  <c r="Z26" i="3"/>
  <c r="Z27" i="3"/>
  <c r="Z28" i="3"/>
  <c r="Z29" i="3"/>
  <c r="Z30" i="3"/>
  <c r="Z31" i="3"/>
  <c r="Z32" i="3"/>
  <c r="Z33" i="3"/>
  <c r="Z34" i="3"/>
  <c r="Z35" i="3"/>
  <c r="Z36" i="3"/>
  <c r="Z37" i="3"/>
  <c r="Z14" i="3"/>
  <c r="Z15" i="3"/>
  <c r="Z16" i="3"/>
  <c r="Z17" i="3"/>
  <c r="Z18" i="3"/>
  <c r="Z19" i="3"/>
  <c r="Z20" i="3"/>
  <c r="Z21" i="3"/>
  <c r="Z22" i="3"/>
  <c r="Z23" i="3"/>
  <c r="Z24" i="3"/>
  <c r="Z25" i="3"/>
  <c r="Z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13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F37" i="3"/>
  <c r="AF36" i="3"/>
  <c r="AF35" i="3"/>
  <c r="AF34" i="3"/>
  <c r="AF33" i="3"/>
  <c r="AF32" i="3"/>
  <c r="AF31" i="3"/>
  <c r="AF30" i="3"/>
  <c r="AF29" i="3"/>
  <c r="AF28" i="3"/>
  <c r="AF26" i="3"/>
  <c r="V37" i="3"/>
  <c r="V36" i="3"/>
  <c r="V35" i="3"/>
  <c r="V34" i="3"/>
  <c r="V33" i="3"/>
  <c r="V32" i="3"/>
  <c r="V31" i="3"/>
  <c r="V30" i="3"/>
  <c r="V29" i="3"/>
  <c r="V28" i="3"/>
  <c r="V26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Q13" i="3"/>
  <c r="AA13" i="3" s="1"/>
  <c r="P13" i="3"/>
  <c r="AJ38" i="3" l="1"/>
  <c r="AK38" i="3"/>
  <c r="P46" i="3" s="1"/>
  <c r="O46" i="3"/>
  <c r="B33" i="4"/>
  <c r="AG37" i="3"/>
  <c r="AG36" i="3"/>
  <c r="AG35" i="3"/>
  <c r="AG34" i="3"/>
  <c r="AG33" i="3"/>
  <c r="AG32" i="3"/>
  <c r="AG31" i="3"/>
  <c r="AG30" i="3"/>
  <c r="AG29" i="3"/>
  <c r="AG28" i="3"/>
  <c r="AG26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K37" i="3" l="1"/>
  <c r="K36" i="3"/>
  <c r="K35" i="3"/>
  <c r="K33" i="3"/>
  <c r="K32" i="3"/>
  <c r="K31" i="3"/>
  <c r="K30" i="3"/>
  <c r="K29" i="3"/>
  <c r="K28" i="3"/>
  <c r="K26" i="3"/>
  <c r="K34" i="3"/>
  <c r="AE37" i="3"/>
  <c r="AC37" i="3" a="1"/>
  <c r="AC37" i="3" s="1"/>
  <c r="T37" i="3"/>
  <c r="R37" i="3"/>
  <c r="O37" i="3"/>
  <c r="AE36" i="3"/>
  <c r="AC36" i="3" a="1"/>
  <c r="AC36" i="3" s="1"/>
  <c r="T36" i="3"/>
  <c r="R36" i="3"/>
  <c r="O36" i="3"/>
  <c r="AE35" i="3"/>
  <c r="AC35" i="3" a="1"/>
  <c r="AC35" i="3" s="1"/>
  <c r="T35" i="3"/>
  <c r="R35" i="3"/>
  <c r="O35" i="3"/>
  <c r="AE34" i="3"/>
  <c r="AC34" i="3" a="1"/>
  <c r="AC34" i="3" s="1"/>
  <c r="T34" i="3"/>
  <c r="R34" i="3"/>
  <c r="O34" i="3"/>
  <c r="AE33" i="3"/>
  <c r="AC33" i="3" a="1"/>
  <c r="AC33" i="3" s="1"/>
  <c r="T33" i="3"/>
  <c r="R33" i="3"/>
  <c r="O33" i="3"/>
  <c r="AE32" i="3"/>
  <c r="AC32" i="3" a="1"/>
  <c r="AC32" i="3" s="1"/>
  <c r="T32" i="3"/>
  <c r="R32" i="3"/>
  <c r="O32" i="3"/>
  <c r="AE31" i="3"/>
  <c r="AC31" i="3" a="1"/>
  <c r="AC31" i="3" s="1"/>
  <c r="T31" i="3"/>
  <c r="R31" i="3"/>
  <c r="O31" i="3"/>
  <c r="AE30" i="3"/>
  <c r="AC30" i="3" a="1"/>
  <c r="AC30" i="3" s="1"/>
  <c r="T30" i="3"/>
  <c r="R30" i="3"/>
  <c r="O30" i="3"/>
  <c r="AE29" i="3"/>
  <c r="AC29" i="3" a="1"/>
  <c r="AC29" i="3" s="1"/>
  <c r="T29" i="3"/>
  <c r="R29" i="3"/>
  <c r="O29" i="3"/>
  <c r="AE28" i="3"/>
  <c r="AC28" i="3" a="1"/>
  <c r="AC28" i="3" s="1"/>
  <c r="T28" i="3"/>
  <c r="R28" i="3"/>
  <c r="O28" i="3"/>
  <c r="AC27" i="3" a="1"/>
  <c r="AC27" i="3" s="1"/>
  <c r="T27" i="3"/>
  <c r="V27" i="3"/>
  <c r="R27" i="3"/>
  <c r="O27" i="3"/>
  <c r="AE26" i="3"/>
  <c r="AC26" i="3" a="1"/>
  <c r="AC26" i="3" s="1"/>
  <c r="T26" i="3"/>
  <c r="R26" i="3"/>
  <c r="O26" i="3"/>
  <c r="AC25" i="3" a="1"/>
  <c r="AC25" i="3" s="1"/>
  <c r="AI25" i="3" s="1"/>
  <c r="T25" i="3"/>
  <c r="V25" i="3"/>
  <c r="R25" i="3"/>
  <c r="O25" i="3"/>
  <c r="AC24" i="3" a="1"/>
  <c r="AC24" i="3" s="1"/>
  <c r="AI24" i="3" s="1"/>
  <c r="T24" i="3"/>
  <c r="V24" i="3"/>
  <c r="R24" i="3"/>
  <c r="O24" i="3"/>
  <c r="AC23" i="3" a="1"/>
  <c r="AC23" i="3" s="1"/>
  <c r="AI23" i="3" s="1"/>
  <c r="T23" i="3"/>
  <c r="V23" i="3"/>
  <c r="R23" i="3"/>
  <c r="O23" i="3"/>
  <c r="AC22" i="3" a="1"/>
  <c r="AC22" i="3" s="1"/>
  <c r="AI22" i="3" s="1"/>
  <c r="T22" i="3"/>
  <c r="V22" i="3"/>
  <c r="R22" i="3"/>
  <c r="O22" i="3"/>
  <c r="AC21" i="3" a="1"/>
  <c r="AC21" i="3" s="1"/>
  <c r="T21" i="3"/>
  <c r="V21" i="3"/>
  <c r="R21" i="3"/>
  <c r="O21" i="3"/>
  <c r="AC20" i="3" a="1"/>
  <c r="AC20" i="3" s="1"/>
  <c r="T20" i="3"/>
  <c r="V20" i="3"/>
  <c r="R20" i="3"/>
  <c r="O20" i="3"/>
  <c r="AC19" i="3" a="1"/>
  <c r="AC19" i="3" s="1"/>
  <c r="T19" i="3"/>
  <c r="V19" i="3"/>
  <c r="R19" i="3"/>
  <c r="O19" i="3"/>
  <c r="AC18" i="3" a="1"/>
  <c r="AC18" i="3" s="1"/>
  <c r="T18" i="3"/>
  <c r="V18" i="3"/>
  <c r="R18" i="3"/>
  <c r="O18" i="3"/>
  <c r="AC17" i="3" a="1"/>
  <c r="AC17" i="3" s="1"/>
  <c r="T17" i="3"/>
  <c r="V17" i="3"/>
  <c r="R17" i="3"/>
  <c r="O17" i="3"/>
  <c r="AC16" i="3" a="1"/>
  <c r="AC16" i="3" s="1"/>
  <c r="T16" i="3"/>
  <c r="V16" i="3"/>
  <c r="R16" i="3"/>
  <c r="O16" i="3"/>
  <c r="AC15" i="3" a="1"/>
  <c r="AC15" i="3" s="1"/>
  <c r="T15" i="3"/>
  <c r="V15" i="3"/>
  <c r="R15" i="3"/>
  <c r="O15" i="3"/>
  <c r="AC14" i="3" a="1"/>
  <c r="AC14" i="3" s="1"/>
  <c r="T14" i="3"/>
  <c r="V14" i="3"/>
  <c r="R14" i="3"/>
  <c r="O14" i="3"/>
  <c r="AI13" i="3"/>
  <c r="T13" i="3"/>
  <c r="R13" i="3"/>
  <c r="O13" i="3"/>
  <c r="AH21" i="3" l="1"/>
  <c r="AI21" i="3" s="1"/>
  <c r="AH15" i="3"/>
  <c r="AI15" i="3" s="1"/>
  <c r="AH19" i="3"/>
  <c r="AI19" i="3" s="1"/>
  <c r="AH20" i="3"/>
  <c r="AI20" i="3" s="1"/>
  <c r="AH17" i="3"/>
  <c r="AI17" i="3" s="1"/>
  <c r="AH14" i="3"/>
  <c r="AI14" i="3" s="1"/>
  <c r="AH16" i="3"/>
  <c r="AI16" i="3" s="1"/>
  <c r="AH18" i="3"/>
  <c r="AI18" i="3" s="1"/>
  <c r="V13" i="3"/>
  <c r="U13" i="3"/>
  <c r="X18" i="3"/>
  <c r="X17" i="3"/>
  <c r="X16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22" i="3"/>
  <c r="X23" i="3"/>
  <c r="X13" i="3"/>
  <c r="X19" i="3"/>
  <c r="X15" i="3"/>
  <c r="X14" i="3"/>
  <c r="X21" i="3"/>
  <c r="X20" i="3"/>
  <c r="U26" i="3"/>
  <c r="U30" i="3"/>
  <c r="U34" i="3"/>
  <c r="U35" i="3"/>
  <c r="AA30" i="3"/>
  <c r="AA20" i="3"/>
  <c r="U27" i="3"/>
  <c r="U18" i="3"/>
  <c r="Y26" i="3"/>
  <c r="Y25" i="3"/>
  <c r="Y28" i="3"/>
  <c r="U16" i="3"/>
  <c r="Y30" i="3"/>
  <c r="AA24" i="3"/>
  <c r="U25" i="3"/>
  <c r="AA27" i="3"/>
  <c r="U28" i="3"/>
  <c r="U29" i="3"/>
  <c r="U31" i="3"/>
  <c r="Y37" i="3"/>
  <c r="U32" i="3"/>
  <c r="Y34" i="3"/>
  <c r="Y35" i="3"/>
  <c r="Y36" i="3"/>
  <c r="Y15" i="3"/>
  <c r="Y24" i="3"/>
  <c r="Y29" i="3"/>
  <c r="Y31" i="3"/>
  <c r="Y32" i="3"/>
  <c r="U15" i="3"/>
  <c r="AA31" i="3"/>
  <c r="U37" i="3"/>
  <c r="Y27" i="3"/>
  <c r="U36" i="3"/>
  <c r="Y22" i="3"/>
  <c r="W30" i="3"/>
  <c r="Y23" i="3"/>
  <c r="W32" i="3"/>
  <c r="U14" i="3"/>
  <c r="Y20" i="3"/>
  <c r="AA22" i="3"/>
  <c r="U23" i="3"/>
  <c r="W33" i="3"/>
  <c r="U21" i="3"/>
  <c r="AA33" i="3"/>
  <c r="U24" i="3"/>
  <c r="Y13" i="3"/>
  <c r="Y14" i="3"/>
  <c r="AA34" i="3"/>
  <c r="Y33" i="3"/>
  <c r="U33" i="3"/>
  <c r="Y18" i="3"/>
  <c r="Y17" i="3"/>
  <c r="W16" i="3"/>
  <c r="Y16" i="3"/>
  <c r="Y19" i="3"/>
  <c r="AA19" i="3"/>
  <c r="W13" i="3"/>
  <c r="U22" i="3"/>
  <c r="U17" i="3"/>
  <c r="U19" i="3"/>
  <c r="U20" i="3"/>
  <c r="W18" i="3"/>
  <c r="AA18" i="3"/>
  <c r="Y21" i="3"/>
  <c r="W17" i="3"/>
  <c r="AA16" i="3"/>
  <c r="W24" i="3"/>
  <c r="W37" i="3"/>
  <c r="AA17" i="3"/>
  <c r="AA29" i="3"/>
  <c r="AA32" i="3"/>
  <c r="AA25" i="3"/>
  <c r="W34" i="3"/>
  <c r="AA36" i="3"/>
  <c r="AA23" i="3"/>
  <c r="AA15" i="3"/>
  <c r="W27" i="3"/>
  <c r="AA28" i="3"/>
  <c r="AA26" i="3"/>
  <c r="W19" i="3"/>
  <c r="AA21" i="3"/>
  <c r="W23" i="3"/>
  <c r="AA35" i="3"/>
  <c r="AA37" i="3"/>
  <c r="W14" i="3"/>
  <c r="W26" i="3"/>
  <c r="W36" i="3"/>
  <c r="W15" i="3"/>
  <c r="W29" i="3"/>
  <c r="W22" i="3"/>
  <c r="AA14" i="3"/>
  <c r="W21" i="3"/>
  <c r="W25" i="3"/>
  <c r="W35" i="3"/>
  <c r="W20" i="3"/>
  <c r="W28" i="3"/>
  <c r="W31" i="3"/>
  <c r="AE13" i="3" l="1"/>
  <c r="AI38" i="3"/>
  <c r="AF13" i="3"/>
  <c r="J13" i="3" s="1"/>
  <c r="K13" i="3" s="1"/>
  <c r="AF16" i="3"/>
  <c r="J16" i="3" s="1"/>
  <c r="AF15" i="3"/>
  <c r="J15" i="3" s="1"/>
  <c r="AF19" i="3"/>
  <c r="J19" i="3" s="1"/>
  <c r="AF27" i="3"/>
  <c r="J27" i="3" s="1"/>
  <c r="AE27" i="3"/>
  <c r="AF21" i="3"/>
  <c r="J21" i="3" s="1"/>
  <c r="K21" i="3" s="1"/>
  <c r="AF14" i="3"/>
  <c r="J14" i="3" s="1"/>
  <c r="AF22" i="3"/>
  <c r="J22" i="3" s="1"/>
  <c r="AF17" i="3"/>
  <c r="J17" i="3" s="1"/>
  <c r="AF20" i="3"/>
  <c r="J20" i="3" s="1"/>
  <c r="AF23" i="3"/>
  <c r="J23" i="3" s="1"/>
  <c r="AF25" i="3"/>
  <c r="J25" i="3" s="1"/>
  <c r="AF24" i="3"/>
  <c r="J24" i="3" s="1"/>
  <c r="AF18" i="3"/>
  <c r="J18" i="3" s="1"/>
  <c r="AE25" i="3"/>
  <c r="AE22" i="3"/>
  <c r="AE24" i="3"/>
  <c r="AE15" i="3"/>
  <c r="AE16" i="3"/>
  <c r="AE23" i="3"/>
  <c r="AE17" i="3"/>
  <c r="AE19" i="3"/>
  <c r="V38" i="3"/>
  <c r="V39" i="3" s="1"/>
  <c r="J48" i="3" s="1"/>
  <c r="AE20" i="3"/>
  <c r="AE21" i="3"/>
  <c r="X38" i="3"/>
  <c r="K40" i="3" s="1"/>
  <c r="AE14" i="3"/>
  <c r="AE18" i="3"/>
  <c r="O44" i="3" l="1"/>
  <c r="B31" i="4"/>
  <c r="K48" i="3"/>
  <c r="K27" i="3"/>
  <c r="AG27" i="3"/>
  <c r="X39" i="3"/>
  <c r="J47" i="3" s="1"/>
  <c r="AG13" i="3"/>
  <c r="AG21" i="3"/>
  <c r="AG16" i="3"/>
  <c r="K16" i="3"/>
  <c r="AG18" i="3"/>
  <c r="K18" i="3"/>
  <c r="K22" i="3"/>
  <c r="AG22" i="3"/>
  <c r="K20" i="3"/>
  <c r="AG20" i="3"/>
  <c r="AG25" i="3"/>
  <c r="K25" i="3"/>
  <c r="AG15" i="3"/>
  <c r="K15" i="3"/>
  <c r="AG19" i="3"/>
  <c r="K19" i="3"/>
  <c r="AG23" i="3"/>
  <c r="K23" i="3"/>
  <c r="K14" i="3"/>
  <c r="AG14" i="3"/>
  <c r="AG17" i="3"/>
  <c r="K17" i="3"/>
  <c r="AG24" i="3"/>
  <c r="K24" i="3"/>
  <c r="O48" i="3" l="1"/>
  <c r="B35" i="4"/>
  <c r="P48" i="3"/>
  <c r="K47" i="3"/>
  <c r="P47" i="3"/>
  <c r="P49" i="3" s="1"/>
  <c r="K38" i="3"/>
  <c r="AG38" i="3"/>
  <c r="O47" i="3" l="1"/>
  <c r="B34" i="4"/>
  <c r="O42" i="3"/>
  <c r="B29" i="4"/>
  <c r="K41" i="3"/>
  <c r="B32" i="4" s="1"/>
  <c r="B36" i="4" l="1"/>
  <c r="O45" i="3"/>
  <c r="O49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N10" authorId="0" shapeId="0" xr:uid="{9FF7880A-AA0F-734E-A1FD-3D32D62E1BA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Cutting Labor</t>
        </r>
      </text>
    </comment>
    <comment ref="M11" authorId="0" shapeId="0" xr:uid="{E81E91EA-7852-244E-859B-CA24364F0B3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Cutting/Linear Ft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<sst xmlns="http://schemas.openxmlformats.org/spreadsheetml/2006/main" count="177" uniqueCount="122">
  <si>
    <t>Total</t>
  </si>
  <si>
    <t>Packing</t>
  </si>
  <si>
    <t># of sheet</t>
  </si>
  <si>
    <t># of roll</t>
  </si>
  <si>
    <t>Surcharge</t>
  </si>
  <si>
    <t>Sqft total</t>
  </si>
  <si>
    <t>ft total</t>
  </si>
  <si>
    <t>WAM4942-38 CRISP LINEN 5/8"</t>
  </si>
  <si>
    <t>WAM5051-60 SABBIA TESSERE 5/8"</t>
  </si>
  <si>
    <t>(Inch)</t>
  </si>
  <si>
    <t>Ovvo Fastener</t>
  </si>
  <si>
    <t>Notching Back</t>
  </si>
  <si>
    <t>Grooving</t>
  </si>
  <si>
    <t>Banding Cost</t>
  </si>
  <si>
    <t>F&amp;B L</t>
  </si>
  <si>
    <t>F&amp;B W</t>
  </si>
  <si>
    <t>L&amp;R Side Panel W</t>
  </si>
  <si>
    <t>L&amp;RSide Panel L</t>
  </si>
  <si>
    <t>Bottom Panel L</t>
  </si>
  <si>
    <t>Bottom Panel W</t>
  </si>
  <si>
    <t>Labor</t>
  </si>
  <si>
    <t>Unit Price</t>
  </si>
  <si>
    <t>Width</t>
  </si>
  <si>
    <t>Height</t>
  </si>
  <si>
    <t>Drawer Length</t>
  </si>
  <si>
    <t>Quantity</t>
  </si>
  <si>
    <t>Line#</t>
  </si>
  <si>
    <t>PO #:</t>
  </si>
  <si>
    <t>DoorsSW@ebbradley.com</t>
  </si>
  <si>
    <t>Email CA, NV, AZ orders to:</t>
  </si>
  <si>
    <t>Customer Name:</t>
  </si>
  <si>
    <t>DoorsNW@ebbradley.com</t>
  </si>
  <si>
    <t>Email WA, OR Orders to:</t>
  </si>
  <si>
    <t>6 Digit EBB Customer #:</t>
  </si>
  <si>
    <t>Date:</t>
  </si>
  <si>
    <t>Interior Design Full Box</t>
  </si>
  <si>
    <t>Material Count</t>
  </si>
  <si>
    <t># of Sheet</t>
  </si>
  <si>
    <t>WAM4943-38 CLASSIC LINEN 5/8"</t>
  </si>
  <si>
    <t>WAM4944-38 CLASSIC LINEN 5/8"</t>
  </si>
  <si>
    <t>WAM4990-38 FLAX LINEN 5/8"</t>
  </si>
  <si>
    <t>WAM5048-60 BIANCO TESSERE 5/8"</t>
  </si>
  <si>
    <t>WAM5049-60 PANNA TESSERE 5/8"</t>
  </si>
  <si>
    <t>WAM5052-60 GRIGIO TESSERE 5/8"</t>
  </si>
  <si>
    <t>WAM5053-60 FROSTED TABBY 5/8"</t>
  </si>
  <si>
    <t>WAM5054-60 WHEAT TABBY 5/8"</t>
  </si>
  <si>
    <t>WAM5055-60 HEATHERED TABBY 5/8"</t>
  </si>
  <si>
    <t>Matching Box Grey (Storm) 5/8"</t>
  </si>
  <si>
    <t>Area Cost</t>
  </si>
  <si>
    <t>Banding Material</t>
  </si>
  <si>
    <t>Board Material</t>
  </si>
  <si>
    <t>Cutting Labor</t>
  </si>
  <si>
    <t>Banding #  Roll</t>
  </si>
  <si>
    <t>total</t>
  </si>
  <si>
    <t>WAM4942-19 CRISP LINEN 5/8"</t>
  </si>
  <si>
    <t>WAM5049-19 PANNA TESSERE 5/8"</t>
  </si>
  <si>
    <t>WAM5054-19 WHEAT TABBY 5/8"</t>
  </si>
  <si>
    <t>unit total</t>
  </si>
  <si>
    <t xml:space="preserve"> unit Ovvo Fastener</t>
  </si>
  <si>
    <t>Drawer</t>
  </si>
  <si>
    <t>Labor Total</t>
  </si>
  <si>
    <t xml:space="preserve">Assemble? </t>
  </si>
  <si>
    <t>Material</t>
  </si>
  <si>
    <t>Note</t>
  </si>
  <si>
    <t>Assembly</t>
  </si>
  <si>
    <t>other color 5/8" Material</t>
  </si>
  <si>
    <t>assembled</t>
  </si>
  <si>
    <t>Cutting Cost</t>
  </si>
  <si>
    <t xml:space="preserve">Crosscut +V&amp;H-Boring </t>
  </si>
  <si>
    <t>Length</t>
  </si>
  <si>
    <t>Brand</t>
  </si>
  <si>
    <t>Product</t>
  </si>
  <si>
    <t>Lab Cost</t>
  </si>
  <si>
    <t>Calculator Price</t>
  </si>
  <si>
    <t>Locking Device</t>
  </si>
  <si>
    <t>Total Lab cost</t>
  </si>
  <si>
    <t>Total Calculator Price</t>
  </si>
  <si>
    <t>Blum Tandem</t>
  </si>
  <si>
    <t>563H5330B</t>
  </si>
  <si>
    <t>563H4570B</t>
  </si>
  <si>
    <t>563H3810B</t>
  </si>
  <si>
    <t>563H3050B</t>
  </si>
  <si>
    <t>T51.1901 L&amp;R</t>
  </si>
  <si>
    <t>Blum Movento</t>
  </si>
  <si>
    <t>769.7620S</t>
  </si>
  <si>
    <t>769.6860S</t>
  </si>
  <si>
    <t>769.6100S</t>
  </si>
  <si>
    <t>763.3050S</t>
  </si>
  <si>
    <t>763.3810S</t>
  </si>
  <si>
    <t>763.4570S</t>
  </si>
  <si>
    <t>763.5330S</t>
  </si>
  <si>
    <t>T51.7601 L&amp;R</t>
  </si>
  <si>
    <t>Salice Futura</t>
  </si>
  <si>
    <t>A750.010</t>
  </si>
  <si>
    <t>7995/305</t>
  </si>
  <si>
    <t>7995/381</t>
  </si>
  <si>
    <t>7995/457</t>
  </si>
  <si>
    <t>7995/533</t>
  </si>
  <si>
    <t>Salice F70</t>
  </si>
  <si>
    <t>G7U6S381XXB</t>
  </si>
  <si>
    <t>G7U6S457XXB</t>
  </si>
  <si>
    <t>G7U6S533CXB</t>
  </si>
  <si>
    <t>G7U6S610CXB</t>
  </si>
  <si>
    <t>G7U6S686CXB</t>
  </si>
  <si>
    <t>G7U6S762CXB</t>
  </si>
  <si>
    <t>AFCGXX3B</t>
  </si>
  <si>
    <t>Drawer Sliders</t>
  </si>
  <si>
    <t>Listing</t>
  </si>
  <si>
    <t>One stop order Total</t>
  </si>
  <si>
    <t>LAB Revenue</t>
  </si>
  <si>
    <t>Slider</t>
  </si>
  <si>
    <t>Board</t>
  </si>
  <si>
    <t>Bannding</t>
  </si>
  <si>
    <t>Slider CCost</t>
  </si>
  <si>
    <t>Slider LCost</t>
  </si>
  <si>
    <t xml:space="preserve">Total Slider Cost </t>
  </si>
  <si>
    <t>List Price</t>
  </si>
  <si>
    <t xml:space="preserve">Lab </t>
  </si>
  <si>
    <t>banding</t>
  </si>
  <si>
    <t>ver Oct 2023</t>
  </si>
  <si>
    <t>LAB 57 PO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</si>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</sst>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#\ ??/16"/>
    <numFmt numFmtId="165" formatCode="_([$$-409]* #,##0.00_);_([$$-409]* \(#,##0.00\);_([$$-409]* &quot;-&quot;??_);_(@_)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rgb="FFFF0000"/>
      <name val="Calibri"/>
      <family val="2"/>
      <scheme val="minor"/>
    </font>
    <font>
      <sz val="12"/>
      <color theme="1"/>
      <name val="Segoe UI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6D6FF"/>
        <bgColor indexed="64"/>
      </patternFill>
    </fill>
    <fill>
      <patternFill patternType="solid">
        <fgColor theme="9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4" fontId="3" fillId="0" borderId="0" xfId="0" applyNumberFormat="1" applyFont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44" fontId="3" fillId="0" borderId="0" xfId="1" applyFont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4" fontId="3" fillId="3" borderId="7" xfId="0" applyNumberFormat="1" applyFont="1" applyFill="1" applyBorder="1" applyAlignment="1" applyProtection="1">
      <alignment horizontal="center" vertical="center"/>
      <protection hidden="1"/>
    </xf>
    <xf numFmtId="164" fontId="3" fillId="0" borderId="0" xfId="1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 applyProtection="1">
      <alignment horizontal="center" vertical="center"/>
      <protection locked="0" hidden="1"/>
    </xf>
    <xf numFmtId="13" fontId="3" fillId="0" borderId="13" xfId="0" applyNumberFormat="1" applyFont="1" applyBorder="1" applyAlignment="1" applyProtection="1">
      <alignment horizontal="center" vertical="center"/>
      <protection locked="0" hidden="1"/>
    </xf>
    <xf numFmtId="0" fontId="3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2" fontId="3" fillId="0" borderId="0" xfId="2" applyNumberFormat="1" applyFon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3" fillId="0" borderId="21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right" vertical="center"/>
    </xf>
    <xf numFmtId="0" fontId="0" fillId="5" borderId="0" xfId="0" applyFill="1"/>
    <xf numFmtId="0" fontId="3" fillId="0" borderId="22" xfId="0" applyFont="1" applyBorder="1" applyAlignment="1" applyProtection="1">
      <alignment horizontal="center" vertical="center"/>
      <protection locked="0" hidden="1"/>
    </xf>
    <xf numFmtId="0" fontId="3" fillId="0" borderId="4" xfId="0" applyFont="1" applyBorder="1" applyAlignment="1" applyProtection="1">
      <alignment horizontal="center" vertical="center"/>
      <protection locked="0" hidden="1"/>
    </xf>
    <xf numFmtId="0" fontId="3" fillId="4" borderId="0" xfId="0" applyFont="1" applyFill="1" applyAlignment="1">
      <alignment horizontal="center" vertical="center"/>
    </xf>
    <xf numFmtId="44" fontId="3" fillId="4" borderId="0" xfId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2" fontId="3" fillId="4" borderId="0" xfId="1" applyNumberFormat="1" applyFont="1" applyFill="1" applyAlignment="1">
      <alignment horizontal="center" vertical="center"/>
    </xf>
    <xf numFmtId="2" fontId="3" fillId="4" borderId="5" xfId="0" applyNumberFormat="1" applyFont="1" applyFill="1" applyBorder="1" applyAlignment="1">
      <alignment horizontal="center" vertical="center"/>
    </xf>
    <xf numFmtId="44" fontId="2" fillId="0" borderId="0" xfId="1" applyFont="1" applyAlignment="1">
      <alignment horizontal="center" vertical="center"/>
    </xf>
    <xf numFmtId="44" fontId="3" fillId="0" borderId="0" xfId="1" applyFont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44" fontId="3" fillId="7" borderId="0" xfId="0" applyNumberFormat="1" applyFont="1" applyFill="1" applyAlignment="1">
      <alignment horizontal="center" vertical="center"/>
    </xf>
    <xf numFmtId="44" fontId="4" fillId="3" borderId="11" xfId="0" applyNumberFormat="1" applyFont="1" applyFill="1" applyBorder="1" applyAlignment="1" applyProtection="1">
      <alignment horizontal="center" vertical="center"/>
      <protection hidden="1"/>
    </xf>
    <xf numFmtId="44" fontId="3" fillId="3" borderId="3" xfId="0" applyNumberFormat="1" applyFont="1" applyFill="1" applyBorder="1" applyAlignment="1" applyProtection="1">
      <alignment horizontal="center" vertical="center"/>
      <protection hidden="1"/>
    </xf>
    <xf numFmtId="44" fontId="3" fillId="3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4" fillId="6" borderId="0" xfId="0" applyFont="1" applyFill="1" applyAlignment="1">
      <alignment horizontal="right" vertical="center"/>
    </xf>
    <xf numFmtId="0" fontId="3" fillId="6" borderId="26" xfId="0" applyFont="1" applyFill="1" applyBorder="1" applyAlignment="1" applyProtection="1">
      <alignment horizontal="left" vertical="center"/>
      <protection locked="0"/>
    </xf>
    <xf numFmtId="0" fontId="5" fillId="6" borderId="0" xfId="0" applyFont="1" applyFill="1" applyAlignment="1">
      <alignment horizontal="left" vertical="center"/>
    </xf>
    <xf numFmtId="8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locked="0" hidden="1"/>
    </xf>
    <xf numFmtId="13" fontId="3" fillId="0" borderId="9" xfId="0" applyNumberFormat="1" applyFont="1" applyBorder="1" applyAlignment="1" applyProtection="1">
      <alignment horizontal="center" vertical="center"/>
      <protection locked="0" hidden="1"/>
    </xf>
    <xf numFmtId="0" fontId="10" fillId="0" borderId="0" xfId="0" applyFont="1" applyAlignment="1">
      <alignment horizontal="center" vertical="center"/>
    </xf>
    <xf numFmtId="44" fontId="3" fillId="8" borderId="0" xfId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44" fontId="11" fillId="0" borderId="0" xfId="1" applyFont="1" applyAlignment="1">
      <alignment horizontal="center" vertical="center"/>
    </xf>
    <xf numFmtId="44" fontId="11" fillId="0" borderId="0" xfId="0" applyNumberFormat="1" applyFont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44" fontId="11" fillId="0" borderId="30" xfId="1" applyFont="1" applyBorder="1" applyAlignment="1">
      <alignment horizontal="center" vertical="center"/>
    </xf>
    <xf numFmtId="44" fontId="11" fillId="0" borderId="30" xfId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hidden="1"/>
    </xf>
    <xf numFmtId="0" fontId="4" fillId="9" borderId="2" xfId="0" applyFont="1" applyFill="1" applyBorder="1" applyAlignment="1">
      <alignment horizontal="right" vertical="center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>
      <alignment horizontal="right" vertical="center"/>
    </xf>
    <xf numFmtId="0" fontId="3" fillId="2" borderId="18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/>
      <protection hidden="1"/>
    </xf>
    <xf numFmtId="44" fontId="7" fillId="10" borderId="27" xfId="0" applyNumberFormat="1" applyFont="1" applyFill="1" applyBorder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165" fontId="11" fillId="2" borderId="30" xfId="0" applyNumberFormat="1" applyFont="1" applyFill="1" applyBorder="1" applyAlignment="1">
      <alignment horizontal="center" vertical="center"/>
    </xf>
    <xf numFmtId="4" fontId="11" fillId="2" borderId="30" xfId="0" applyNumberFormat="1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44" fontId="3" fillId="0" borderId="25" xfId="0" applyNumberFormat="1" applyFont="1" applyBorder="1" applyAlignment="1">
      <alignment horizontal="center" vertical="center"/>
    </xf>
    <xf numFmtId="44" fontId="3" fillId="0" borderId="33" xfId="0" applyNumberFormat="1" applyFont="1" applyBorder="1" applyAlignment="1">
      <alignment horizontal="center" vertical="center"/>
    </xf>
    <xf numFmtId="44" fontId="3" fillId="0" borderId="5" xfId="0" applyNumberFormat="1" applyFont="1" applyBorder="1" applyAlignment="1">
      <alignment horizontal="center" vertical="center"/>
    </xf>
    <xf numFmtId="44" fontId="3" fillId="3" borderId="35" xfId="0" applyNumberFormat="1" applyFont="1" applyFill="1" applyBorder="1" applyAlignment="1" applyProtection="1">
      <alignment horizontal="center" vertical="center"/>
      <protection hidden="1"/>
    </xf>
    <xf numFmtId="44" fontId="3" fillId="3" borderId="36" xfId="0" applyNumberFormat="1" applyFont="1" applyFill="1" applyBorder="1" applyAlignment="1" applyProtection="1">
      <alignment horizontal="center" vertical="center"/>
      <protection hidden="1"/>
    </xf>
    <xf numFmtId="44" fontId="3" fillId="3" borderId="37" xfId="0" applyNumberFormat="1" applyFont="1" applyFill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3" fillId="0" borderId="18" xfId="0" applyFont="1" applyBorder="1" applyAlignment="1" applyProtection="1">
      <alignment horizontal="center" vertical="center"/>
      <protection locked="0" hidden="1"/>
    </xf>
    <xf numFmtId="13" fontId="3" fillId="0" borderId="18" xfId="0" applyNumberFormat="1" applyFont="1" applyBorder="1" applyAlignment="1" applyProtection="1">
      <alignment horizontal="center" vertical="center"/>
      <protection locked="0" hidden="1"/>
    </xf>
    <xf numFmtId="0" fontId="3" fillId="2" borderId="19" xfId="0" applyFont="1" applyFill="1" applyBorder="1" applyAlignment="1" applyProtection="1">
      <alignment horizontal="center" vertical="center"/>
      <protection locked="0"/>
    </xf>
    <xf numFmtId="0" fontId="3" fillId="0" borderId="35" xfId="0" applyFont="1" applyBorder="1" applyAlignment="1" applyProtection="1">
      <alignment horizontal="center" vertical="center"/>
      <protection locked="0"/>
    </xf>
    <xf numFmtId="0" fontId="3" fillId="0" borderId="36" xfId="0" applyFont="1" applyBorder="1" applyAlignment="1" applyProtection="1">
      <alignment horizontal="center" vertical="center"/>
      <protection locked="0"/>
    </xf>
    <xf numFmtId="0" fontId="3" fillId="0" borderId="37" xfId="0" applyFont="1" applyBorder="1" applyAlignment="1" applyProtection="1">
      <alignment horizontal="center" vertical="center"/>
      <protection locked="0"/>
    </xf>
    <xf numFmtId="0" fontId="3" fillId="6" borderId="17" xfId="0" applyFont="1" applyFill="1" applyBorder="1" applyAlignment="1">
      <alignment horizontal="center" vertical="center"/>
    </xf>
    <xf numFmtId="44" fontId="4" fillId="7" borderId="3" xfId="0" applyNumberFormat="1" applyFont="1" applyFill="1" applyBorder="1" applyAlignment="1">
      <alignment horizontal="center" vertical="center"/>
    </xf>
    <xf numFmtId="44" fontId="4" fillId="7" borderId="1" xfId="0" applyNumberFormat="1" applyFont="1" applyFill="1" applyBorder="1" applyAlignment="1">
      <alignment horizontal="center" vertical="center"/>
    </xf>
    <xf numFmtId="44" fontId="4" fillId="7" borderId="5" xfId="0" applyNumberFormat="1" applyFont="1" applyFill="1" applyBorder="1" applyAlignment="1" applyProtection="1">
      <alignment horizontal="center" vertical="center"/>
      <protection hidden="1"/>
    </xf>
    <xf numFmtId="44" fontId="4" fillId="7" borderId="7" xfId="0" applyNumberFormat="1" applyFont="1" applyFill="1" applyBorder="1" applyAlignment="1">
      <alignment horizontal="center" vertical="center"/>
    </xf>
    <xf numFmtId="0" fontId="3" fillId="11" borderId="22" xfId="0" applyFont="1" applyFill="1" applyBorder="1" applyAlignment="1" applyProtection="1">
      <alignment horizontal="center" vertical="center"/>
      <protection locked="0"/>
    </xf>
    <xf numFmtId="44" fontId="3" fillId="11" borderId="11" xfId="1" applyFont="1" applyFill="1" applyBorder="1" applyAlignment="1" applyProtection="1">
      <alignment horizontal="center" vertical="center"/>
      <protection hidden="1"/>
    </xf>
    <xf numFmtId="0" fontId="3" fillId="11" borderId="4" xfId="0" applyFont="1" applyFill="1" applyBorder="1" applyAlignment="1" applyProtection="1">
      <alignment horizontal="center" vertical="center"/>
      <protection locked="0"/>
    </xf>
    <xf numFmtId="44" fontId="3" fillId="11" borderId="3" xfId="1" applyFont="1" applyFill="1" applyBorder="1" applyAlignment="1" applyProtection="1">
      <alignment horizontal="center" vertical="center"/>
      <protection hidden="1"/>
    </xf>
    <xf numFmtId="0" fontId="3" fillId="11" borderId="2" xfId="0" applyFont="1" applyFill="1" applyBorder="1" applyAlignment="1" applyProtection="1">
      <alignment horizontal="center" vertical="center"/>
      <protection locked="0"/>
    </xf>
    <xf numFmtId="44" fontId="3" fillId="11" borderId="1" xfId="1" applyFont="1" applyFill="1" applyBorder="1" applyAlignment="1" applyProtection="1">
      <alignment horizontal="center" vertical="center"/>
      <protection hidden="1"/>
    </xf>
    <xf numFmtId="0" fontId="7" fillId="0" borderId="6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33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76D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1282700</xdr:colOff>
      <xdr:row>62</xdr:row>
      <xdr:rowOff>115843</xdr:rowOff>
    </xdr:from>
    <xdr:ext cx="1993900" cy="1916156"/>
    <xdr:pic>
      <xdr:nvPicPr>
        <xdr:cNvPr id="2" name="Picture 1">
          <a:extLst>
            <a:ext uri="{FF2B5EF4-FFF2-40B4-BE49-F238E27FC236}">
              <a16:creationId xmlns:a16="http://schemas.microsoft.com/office/drawing/2014/main" id="{A1D4F3F5-A759-9742-858D-5863D6D7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0" y="13514343"/>
          <a:ext cx="1993900" cy="1916156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38</xdr:row>
      <xdr:rowOff>0</xdr:rowOff>
    </xdr:from>
    <xdr:ext cx="4629173" cy="2882900"/>
    <xdr:pic>
      <xdr:nvPicPr>
        <xdr:cNvPr id="3" name="Picture 2">
          <a:extLst>
            <a:ext uri="{FF2B5EF4-FFF2-40B4-BE49-F238E27FC236}">
              <a16:creationId xmlns:a16="http://schemas.microsoft.com/office/drawing/2014/main" id="{6B1C3133-3151-4141-B61C-616FF95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8369300"/>
          <a:ext cx="4629173" cy="2882900"/>
        </a:xfrm>
        <a:prstGeom prst="rect">
          <a:avLst/>
        </a:prstGeom>
      </xdr:spPr>
    </xdr:pic>
    <xdr:clientData/>
  </xdr:oneCellAnchor>
  <xdr:oneCellAnchor>
    <xdr:from>
      <xdr:col>4</xdr:col>
      <xdr:colOff>1460500</xdr:colOff>
      <xdr:row>61</xdr:row>
      <xdr:rowOff>101600</xdr:rowOff>
    </xdr:from>
    <xdr:ext cx="1494985" cy="50167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2775D9E-3990-1648-A93B-FA03BC4DDC8C}"/>
            </a:ext>
          </a:extLst>
        </xdr:cNvPr>
        <xdr:cNvSpPr txBox="1"/>
      </xdr:nvSpPr>
      <xdr:spPr>
        <a:xfrm>
          <a:off x="5435600" y="13055600"/>
          <a:ext cx="1494985" cy="501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 i="0">
              <a:latin typeface="Segoe UI" panose="020B0502040204020203" pitchFamily="34" charset="0"/>
              <a:cs typeface="Segoe UI" panose="020B0502040204020203" pitchFamily="34" charset="0"/>
            </a:rPr>
            <a:t>Clip On assembly</a:t>
          </a:r>
          <a:r>
            <a:rPr lang="en-US" sz="1200" b="1" i="0" baseline="0">
              <a:latin typeface="Segoe UI" panose="020B0502040204020203" pitchFamily="34" charset="0"/>
              <a:cs typeface="Segoe UI" panose="020B0502040204020203" pitchFamily="34" charset="0"/>
            </a:rPr>
            <a:t> in 2 Mins</a:t>
          </a:r>
          <a:endParaRPr lang="en-US" sz="1200" b="1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0</xdr:col>
      <xdr:colOff>76200</xdr:colOff>
      <xdr:row>52</xdr:row>
      <xdr:rowOff>126999</xdr:rowOff>
    </xdr:from>
    <xdr:to>
      <xdr:col>4</xdr:col>
      <xdr:colOff>1305545</xdr:colOff>
      <xdr:row>65</xdr:row>
      <xdr:rowOff>147176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F6B09-2125-B5A7-09CB-23C6A885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11366499"/>
          <a:ext cx="5204445" cy="2496677"/>
        </a:xfrm>
        <a:prstGeom prst="rect">
          <a:avLst/>
        </a:prstGeom>
      </xdr:spPr>
    </xdr:pic>
    <xdr:clientData/>
  </xdr:twoCellAnchor>
  <xdr:twoCellAnchor editAs="oneCell">
    <xdr:from>
      <xdr:col>4</xdr:col>
      <xdr:colOff>1460500</xdr:colOff>
      <xdr:row>47</xdr:row>
      <xdr:rowOff>25400</xdr:rowOff>
    </xdr:from>
    <xdr:to>
      <xdr:col>7</xdr:col>
      <xdr:colOff>161983</xdr:colOff>
      <xdr:row>61</xdr:row>
      <xdr:rowOff>54367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F285300-468B-429B-8F13-A4CFB6E37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35600" y="10566400"/>
          <a:ext cx="4695883" cy="277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8417E-23B7-9C4F-B3E5-48F9542D3A8C}">
  <sheetPr>
    <pageSetUpPr fitToPage="1"/>
  </sheetPr>
  <dimension ref="A1:AO49"/>
  <sheetViews>
    <sheetView showGridLines="0" tabSelected="1" topLeftCell="A9" workbookViewId="0">
      <selection activeCell="I16" sqref="I16"/>
    </sheetView>
  </sheetViews>
  <sheetFormatPr baseColWidth="10" defaultRowHeight="15" x14ac:dyDescent="0.2"/>
  <cols>
    <col min="1" max="1" width="7.83203125" style="1" customWidth="1"/>
    <col min="2" max="2" width="10.83203125" style="1" customWidth="1"/>
    <col min="3" max="3" width="18.1640625" style="1" customWidth="1"/>
    <col min="4" max="4" width="15.33203125" style="1" customWidth="1"/>
    <col min="5" max="5" width="20.5" style="1" customWidth="1"/>
    <col min="6" max="6" width="39" style="1" customWidth="1"/>
    <col min="7" max="7" width="19.1640625" style="1" customWidth="1"/>
    <col min="8" max="8" width="7.6640625" style="1" bestFit="1" customWidth="1"/>
    <col min="9" max="9" width="21" style="1" customWidth="1"/>
    <col min="10" max="11" width="12.33203125" style="1" customWidth="1"/>
    <col min="12" max="14" width="12.33203125" style="1" hidden="1" customWidth="1"/>
    <col min="15" max="15" width="17.1640625" style="1" hidden="1" customWidth="1"/>
    <col min="16" max="16" width="15" style="1" hidden="1" customWidth="1"/>
    <col min="17" max="17" width="21.1640625" style="2" hidden="1" customWidth="1"/>
    <col min="18" max="18" width="21.6640625" style="2" hidden="1" customWidth="1"/>
    <col min="19" max="20" width="10.83203125" style="1" hidden="1" customWidth="1"/>
    <col min="21" max="21" width="12.1640625" style="1" hidden="1" customWidth="1"/>
    <col min="22" max="22" width="16.1640625" style="35" hidden="1" customWidth="1"/>
    <col min="23" max="23" width="10.83203125" style="1" hidden="1" customWidth="1"/>
    <col min="24" max="24" width="14.1640625" style="1" hidden="1" customWidth="1"/>
    <col min="25" max="25" width="14.1640625" style="6" hidden="1" customWidth="1"/>
    <col min="26" max="26" width="22.6640625" style="1" hidden="1" customWidth="1"/>
    <col min="27" max="27" width="10.83203125" style="1" hidden="1" customWidth="1"/>
    <col min="28" max="28" width="15" style="1" hidden="1" customWidth="1"/>
    <col min="29" max="29" width="16.1640625" style="1" hidden="1" customWidth="1"/>
    <col min="30" max="30" width="7.6640625" style="1" hidden="1" customWidth="1"/>
    <col min="31" max="31" width="10.83203125" style="1" hidden="1" customWidth="1"/>
    <col min="32" max="33" width="10.83203125" style="42" hidden="1" customWidth="1"/>
    <col min="34" max="34" width="21.5" style="1" hidden="1" customWidth="1"/>
    <col min="35" max="37" width="10.83203125" style="1" hidden="1" customWidth="1"/>
    <col min="38" max="38" width="33.6640625" style="1" hidden="1" customWidth="1"/>
    <col min="39" max="41" width="10.83203125" style="1" hidden="1" customWidth="1"/>
    <col min="42" max="16384" width="10.83203125" style="1"/>
  </cols>
  <sheetData>
    <row r="1" spans="1:41" ht="17" customHeight="1" x14ac:dyDescent="0.2">
      <c r="A1" s="29" t="s">
        <v>35</v>
      </c>
      <c r="B1" s="27"/>
    </row>
    <row r="2" spans="1:41" ht="17" customHeight="1" x14ac:dyDescent="0.2">
      <c r="A2" s="28" t="s">
        <v>119</v>
      </c>
      <c r="B2" s="27"/>
    </row>
    <row r="3" spans="1:41" ht="17" customHeight="1" x14ac:dyDescent="0.2">
      <c r="A3" s="26"/>
      <c r="B3" s="27"/>
    </row>
    <row r="4" spans="1:41" ht="17" customHeight="1" x14ac:dyDescent="0.2">
      <c r="A4" s="26"/>
      <c r="B4" s="25" t="s">
        <v>34</v>
      </c>
      <c r="C4" s="24"/>
    </row>
    <row r="5" spans="1:41" ht="17" customHeight="1" x14ac:dyDescent="0.2">
      <c r="A5" s="26"/>
      <c r="B5" s="25" t="s">
        <v>33</v>
      </c>
      <c r="C5" s="24"/>
      <c r="F5" s="25"/>
      <c r="G5" s="25"/>
      <c r="H5" s="25"/>
      <c r="I5" s="25" t="s">
        <v>32</v>
      </c>
      <c r="J5" s="27" t="s">
        <v>31</v>
      </c>
    </row>
    <row r="6" spans="1:41" ht="17" customHeight="1" x14ac:dyDescent="0.2">
      <c r="A6" s="26"/>
      <c r="B6" s="25" t="s">
        <v>30</v>
      </c>
      <c r="C6" s="24"/>
      <c r="F6" s="25"/>
      <c r="G6" s="25"/>
      <c r="H6" s="25"/>
      <c r="I6" s="25" t="s">
        <v>29</v>
      </c>
      <c r="J6" s="27" t="s">
        <v>28</v>
      </c>
    </row>
    <row r="7" spans="1:41" ht="17" customHeight="1" x14ac:dyDescent="0.2">
      <c r="A7" s="26"/>
      <c r="B7" s="25" t="s">
        <v>27</v>
      </c>
      <c r="C7" s="24"/>
    </row>
    <row r="8" spans="1:41" ht="17" customHeight="1" x14ac:dyDescent="0.2">
      <c r="A8" s="51"/>
      <c r="B8" s="49" t="s">
        <v>61</v>
      </c>
      <c r="C8" s="50" t="s">
        <v>66</v>
      </c>
      <c r="AM8" s="1" t="s">
        <v>111</v>
      </c>
      <c r="AN8" s="1" t="s">
        <v>118</v>
      </c>
      <c r="AO8" s="1" t="s">
        <v>111</v>
      </c>
    </row>
    <row r="9" spans="1:41" ht="17" customHeight="1" x14ac:dyDescent="0.2">
      <c r="A9" s="26"/>
      <c r="B9" s="25"/>
      <c r="C9" s="48"/>
      <c r="AM9" s="1" t="s">
        <v>116</v>
      </c>
      <c r="AN9" s="1" t="s">
        <v>116</v>
      </c>
      <c r="AO9" s="1" t="s">
        <v>117</v>
      </c>
    </row>
    <row r="10" spans="1:41" ht="17" thickBot="1" x14ac:dyDescent="0.25">
      <c r="J10" s="23"/>
      <c r="K10" s="23"/>
      <c r="L10" s="23"/>
      <c r="M10" s="57">
        <v>1.5</v>
      </c>
      <c r="N10" s="22">
        <v>8</v>
      </c>
      <c r="U10" s="6">
        <v>0.8</v>
      </c>
      <c r="V10" s="36"/>
      <c r="W10" s="6"/>
      <c r="X10" s="6"/>
      <c r="Z10" s="6">
        <f>(0.25*4)+(0.5*2*4)</f>
        <v>5</v>
      </c>
      <c r="AA10" s="6">
        <v>0.2</v>
      </c>
      <c r="AC10" s="6">
        <v>0.5</v>
      </c>
      <c r="AD10" s="1">
        <v>0</v>
      </c>
      <c r="AL10" s="32" t="s">
        <v>65</v>
      </c>
      <c r="AM10" s="1">
        <v>0</v>
      </c>
      <c r="AN10" s="1">
        <v>0</v>
      </c>
      <c r="AO10" s="1">
        <v>0</v>
      </c>
    </row>
    <row r="11" spans="1:41" ht="18" thickBot="1" x14ac:dyDescent="0.25">
      <c r="A11" s="109" t="s">
        <v>26</v>
      </c>
      <c r="B11" s="111" t="s">
        <v>25</v>
      </c>
      <c r="C11" s="21" t="s">
        <v>24</v>
      </c>
      <c r="D11" s="21" t="s">
        <v>23</v>
      </c>
      <c r="E11" s="21" t="s">
        <v>22</v>
      </c>
      <c r="F11" s="113" t="s">
        <v>62</v>
      </c>
      <c r="G11" s="119" t="s">
        <v>106</v>
      </c>
      <c r="H11" s="123" t="s">
        <v>21</v>
      </c>
      <c r="I11" s="117" t="s">
        <v>63</v>
      </c>
      <c r="J11" s="115" t="s">
        <v>21</v>
      </c>
      <c r="K11" s="107" t="s">
        <v>0</v>
      </c>
      <c r="L11" s="18"/>
      <c r="M11" s="18" t="s">
        <v>51</v>
      </c>
      <c r="N11" s="18" t="s">
        <v>20</v>
      </c>
      <c r="O11" s="18" t="s">
        <v>19</v>
      </c>
      <c r="P11" s="18" t="s">
        <v>18</v>
      </c>
      <c r="Q11" s="19" t="s">
        <v>17</v>
      </c>
      <c r="R11" s="19" t="s">
        <v>16</v>
      </c>
      <c r="S11" s="18" t="s">
        <v>15</v>
      </c>
      <c r="T11" s="18" t="s">
        <v>14</v>
      </c>
      <c r="U11" s="18" t="s">
        <v>13</v>
      </c>
      <c r="V11" s="37" t="s">
        <v>49</v>
      </c>
      <c r="W11" s="18" t="s">
        <v>48</v>
      </c>
      <c r="X11" s="18" t="s">
        <v>50</v>
      </c>
      <c r="Y11" s="40" t="s">
        <v>67</v>
      </c>
      <c r="Z11" s="58" t="s">
        <v>68</v>
      </c>
      <c r="AA11" s="18" t="s">
        <v>12</v>
      </c>
      <c r="AB11" s="18" t="s">
        <v>11</v>
      </c>
      <c r="AC11" s="18" t="s">
        <v>10</v>
      </c>
      <c r="AD11" s="18" t="s">
        <v>1</v>
      </c>
      <c r="AE11" s="18"/>
      <c r="AF11" s="43" t="s">
        <v>57</v>
      </c>
      <c r="AG11" s="43" t="s">
        <v>53</v>
      </c>
      <c r="AH11" s="18" t="s">
        <v>58</v>
      </c>
      <c r="AJ11" s="66" t="s">
        <v>113</v>
      </c>
      <c r="AK11" s="66" t="s">
        <v>114</v>
      </c>
      <c r="AL11" s="32" t="s">
        <v>54</v>
      </c>
      <c r="AM11" s="1">
        <v>85.92</v>
      </c>
      <c r="AN11" s="52">
        <v>95.59</v>
      </c>
      <c r="AO11" s="1">
        <v>73.63</v>
      </c>
    </row>
    <row r="12" spans="1:41" ht="17" thickBot="1" x14ac:dyDescent="0.25">
      <c r="A12" s="110"/>
      <c r="B12" s="112"/>
      <c r="C12" s="20" t="s">
        <v>9</v>
      </c>
      <c r="D12" s="20" t="s">
        <v>9</v>
      </c>
      <c r="E12" s="20" t="s">
        <v>9</v>
      </c>
      <c r="F12" s="114"/>
      <c r="G12" s="120"/>
      <c r="H12" s="124"/>
      <c r="I12" s="118"/>
      <c r="J12" s="116"/>
      <c r="K12" s="108"/>
      <c r="L12" s="18"/>
      <c r="M12" s="18"/>
      <c r="N12" s="18"/>
      <c r="O12" s="18"/>
      <c r="P12" s="18"/>
      <c r="Q12" s="19"/>
      <c r="R12" s="19"/>
      <c r="S12" s="18"/>
      <c r="T12" s="18"/>
      <c r="U12" s="18"/>
      <c r="V12" s="37"/>
      <c r="W12" s="18"/>
      <c r="X12" s="18"/>
      <c r="Y12" s="40"/>
      <c r="Z12" s="18"/>
      <c r="AA12" s="18"/>
      <c r="AB12" s="18"/>
      <c r="AC12" s="18"/>
      <c r="AD12" s="18"/>
      <c r="AE12" s="18"/>
      <c r="AF12" s="43"/>
      <c r="AG12" s="43"/>
      <c r="AL12" s="32" t="s">
        <v>55</v>
      </c>
      <c r="AM12" s="1">
        <v>85.92</v>
      </c>
      <c r="AN12" s="52">
        <v>95.59</v>
      </c>
      <c r="AO12" s="1">
        <v>73.63</v>
      </c>
    </row>
    <row r="13" spans="1:41" ht="19" customHeight="1" x14ac:dyDescent="0.2">
      <c r="A13" s="17">
        <v>1</v>
      </c>
      <c r="B13" s="87"/>
      <c r="C13" s="88"/>
      <c r="D13" s="89"/>
      <c r="E13" s="89"/>
      <c r="F13" s="90"/>
      <c r="G13" s="99"/>
      <c r="H13" s="100">
        <f>IFERROR(VLOOKUP(G13,'Official Only'!$D$3:$K$23,8,0),0)</f>
        <v>0</v>
      </c>
      <c r="I13" s="91"/>
      <c r="J13" s="84">
        <f t="shared" ref="J13:J37" si="0">IF(AND(B13&lt;&gt;0,C13&lt;&gt;0,D13&lt;&gt;0,E13&lt;&gt;0, F13&lt;&gt;0),CEILING(AF13/0.75,0.25),0)</f>
        <v>0</v>
      </c>
      <c r="K13" s="9">
        <f t="shared" ref="K13:K37" si="1">J13*B13</f>
        <v>0</v>
      </c>
      <c r="L13" s="3"/>
      <c r="M13" s="3">
        <f>$M$10</f>
        <v>1.5</v>
      </c>
      <c r="O13" s="11">
        <f t="shared" ref="O13:O37" si="2">IF(E13=0,0,E13)</f>
        <v>0</v>
      </c>
      <c r="P13" s="11">
        <f t="shared" ref="P13:P37" si="3">C13</f>
        <v>0</v>
      </c>
      <c r="Q13" s="12">
        <f t="shared" ref="Q13:Q37" si="4">C13</f>
        <v>0</v>
      </c>
      <c r="R13" s="12">
        <f t="shared" ref="R13:R37" si="5">IF(D13=0,0,D13)</f>
        <v>0</v>
      </c>
      <c r="S13" s="11">
        <f t="shared" ref="S13:S37" si="6">IF(E13=0,0,E13-(0.625*2))</f>
        <v>0</v>
      </c>
      <c r="T13" s="11">
        <f t="shared" ref="T13:T37" si="7">IF(D13=0,0,D13)</f>
        <v>0</v>
      </c>
      <c r="U13" s="6">
        <f>(CEILING(S13/12,0.25)*2+CEILING(Q13/12,0.25)*2)*$U$10</f>
        <v>0</v>
      </c>
      <c r="V13" s="38">
        <f t="shared" ref="V13:V37" si="8">IF(AND(B13&lt;&gt;0,C13&lt;&gt;0,D13&lt;&gt;0,E13&lt;&gt;0),(CEILING(S13/12,0.25)*2+CEILING(Q13/12,0.25)*2)*B13,0)</f>
        <v>0</v>
      </c>
      <c r="W13" s="6">
        <f t="shared" ref="W13:W37" si="9">(CEILING(O13*P13/144,0.25)+CEILING(Q13*R13/144,0.25)*2+CEILING(S13*T13/144,0.25)*2)*N13</f>
        <v>0</v>
      </c>
      <c r="X13" s="10">
        <f t="shared" ref="X13:X37" si="10">((O13*P13/144)+(Q13*R13/144)*2+(S13*T13/144)*2)*B13</f>
        <v>0</v>
      </c>
      <c r="Y13" s="6">
        <f t="shared" ref="Y13:Y37" si="11">SUM((Q13+R13)*2+(S13+T13)*2+(O13+P13)*1)/12*M13</f>
        <v>0</v>
      </c>
      <c r="Z13" s="6">
        <f>$Z$10</f>
        <v>5</v>
      </c>
      <c r="AA13" s="6">
        <f>(CEILING(S13/12,0.25)*2+CEILING(Q13/12,0.25)*2)*$AA$10</f>
        <v>0</v>
      </c>
      <c r="AC13" s="6" cm="1">
        <f t="array" ref="AC13">IFERROR(_xlfn.IFS(D13&lt;7,$AC$10*8, D13&gt;=7, $AC$10*12),"")</f>
        <v>4</v>
      </c>
      <c r="AD13" s="6">
        <f>$AD$10</f>
        <v>0</v>
      </c>
      <c r="AE13" s="3">
        <f t="shared" ref="AE13:AE37" si="12">IF(B13=0,0,SUM(Z13:AD13)+U13+W13)</f>
        <v>0</v>
      </c>
      <c r="AF13" s="44">
        <f t="shared" ref="AF13:AF37" si="13">IF(AND(B13&lt;&gt;0,C13&lt;&gt;0,D13&lt;&gt;0,E13&lt;&gt;0,F13&lt;&gt;0),SUM(Z13:AD13)+U13+Y13,0)</f>
        <v>0</v>
      </c>
      <c r="AG13" s="44">
        <f t="shared" ref="AG13:AG37" si="14">CEILING(AF13/0.75,0.25)*B13</f>
        <v>0</v>
      </c>
      <c r="AH13" s="3">
        <f t="shared" ref="AH13:AH37" si="15">IF(AND(B13&lt;&gt;0,C13&lt;&gt;0,D13&lt;&gt;0,E13&lt;&gt;0, F13&lt;&gt;0),CEILING(AC13,0.25),0)</f>
        <v>0</v>
      </c>
      <c r="AI13" s="3">
        <f t="shared" ref="AI13:AI37" si="16">AH13*B13</f>
        <v>0</v>
      </c>
      <c r="AJ13" s="3">
        <f>IFERROR(VLOOKUP(G13,'Official Only'!$D$3:$K$23,8,0)*B13,0)</f>
        <v>0</v>
      </c>
      <c r="AK13" s="3">
        <f>IFERROR(VLOOKUP(G13,'Official Only'!$D$3:$K$23,7,0)*B13,0)</f>
        <v>0</v>
      </c>
      <c r="AL13" s="32" t="s">
        <v>56</v>
      </c>
      <c r="AM13" s="1">
        <v>85.92</v>
      </c>
      <c r="AN13" s="52">
        <v>95.59</v>
      </c>
      <c r="AO13" s="1">
        <v>73.63</v>
      </c>
    </row>
    <row r="14" spans="1:41" ht="19" customHeight="1" x14ac:dyDescent="0.2">
      <c r="A14" s="14">
        <v>2</v>
      </c>
      <c r="B14" s="34"/>
      <c r="C14" s="15"/>
      <c r="D14" s="16"/>
      <c r="E14" s="16"/>
      <c r="F14" s="67"/>
      <c r="G14" s="101"/>
      <c r="H14" s="102">
        <f>IFERROR(VLOOKUP(G14,'Official Only'!$D$3:$K$23,8,0),0)</f>
        <v>0</v>
      </c>
      <c r="I14" s="92"/>
      <c r="J14" s="85">
        <f t="shared" si="0"/>
        <v>0</v>
      </c>
      <c r="K14" s="46">
        <f t="shared" si="1"/>
        <v>0</v>
      </c>
      <c r="L14" s="3"/>
      <c r="M14" s="3">
        <f t="shared" ref="M14:M37" si="17">$M$10</f>
        <v>1.5</v>
      </c>
      <c r="O14" s="11">
        <f t="shared" si="2"/>
        <v>0</v>
      </c>
      <c r="P14" s="11">
        <f t="shared" si="3"/>
        <v>0</v>
      </c>
      <c r="Q14" s="12">
        <f t="shared" si="4"/>
        <v>0</v>
      </c>
      <c r="R14" s="12">
        <f t="shared" si="5"/>
        <v>0</v>
      </c>
      <c r="S14" s="11">
        <f t="shared" si="6"/>
        <v>0</v>
      </c>
      <c r="T14" s="11">
        <f t="shared" si="7"/>
        <v>0</v>
      </c>
      <c r="U14" s="6">
        <f t="shared" ref="U14:U37" si="18">(CEILING(S14/12,0.25)*2+CEILING(Q14/12,0.25)*2)*$U$10</f>
        <v>0</v>
      </c>
      <c r="V14" s="38">
        <f t="shared" si="8"/>
        <v>0</v>
      </c>
      <c r="W14" s="6">
        <f t="shared" si="9"/>
        <v>0</v>
      </c>
      <c r="X14" s="10">
        <f t="shared" si="10"/>
        <v>0</v>
      </c>
      <c r="Y14" s="6">
        <f t="shared" si="11"/>
        <v>0</v>
      </c>
      <c r="Z14" s="6">
        <f t="shared" ref="Z14:Z37" si="19">$Z$10</f>
        <v>5</v>
      </c>
      <c r="AA14" s="6">
        <f t="shared" ref="AA14:AA37" si="20">(CEILING(S14/12,0.25)*2+CEILING(Q14/12,0.25)*2)*$AA$10</f>
        <v>0</v>
      </c>
      <c r="AC14" s="6" cm="1">
        <f t="array" ref="AC14">IFERROR(_xlfn.IFS(D14&lt;7,$AC$10*8, D14&gt;=7, $AC$10*12),"")</f>
        <v>4</v>
      </c>
      <c r="AD14" s="6">
        <f t="shared" ref="AD14:AD37" si="21">$AD$10</f>
        <v>0</v>
      </c>
      <c r="AE14" s="3">
        <f t="shared" si="12"/>
        <v>0</v>
      </c>
      <c r="AF14" s="44">
        <f t="shared" si="13"/>
        <v>0</v>
      </c>
      <c r="AG14" s="44">
        <f t="shared" si="14"/>
        <v>0</v>
      </c>
      <c r="AH14" s="3">
        <f t="shared" si="15"/>
        <v>0</v>
      </c>
      <c r="AI14" s="3">
        <f t="shared" si="16"/>
        <v>0</v>
      </c>
      <c r="AJ14" s="3">
        <f>IFERROR(VLOOKUP(G14,'Official Only'!$D$3:$K$23,8,0)*B14,0)</f>
        <v>0</v>
      </c>
      <c r="AK14" s="3">
        <f>IFERROR(VLOOKUP(G14,'Official Only'!$D$3:$K$23,7,0)*B14,0)</f>
        <v>0</v>
      </c>
      <c r="AL14" s="32" t="s">
        <v>7</v>
      </c>
      <c r="AM14" s="1">
        <v>79.81</v>
      </c>
      <c r="AN14" s="52">
        <v>95.59</v>
      </c>
      <c r="AO14" s="1">
        <v>68.38</v>
      </c>
    </row>
    <row r="15" spans="1:41" ht="19" customHeight="1" x14ac:dyDescent="0.2">
      <c r="A15" s="14">
        <v>3</v>
      </c>
      <c r="B15" s="34"/>
      <c r="C15" s="15"/>
      <c r="D15" s="16"/>
      <c r="E15" s="16"/>
      <c r="F15" s="67"/>
      <c r="G15" s="101"/>
      <c r="H15" s="102">
        <f>IFERROR(VLOOKUP(G15,'Official Only'!$D$3:$K$23,8,0),0)</f>
        <v>0</v>
      </c>
      <c r="I15" s="92"/>
      <c r="J15" s="85">
        <f t="shared" si="0"/>
        <v>0</v>
      </c>
      <c r="K15" s="46">
        <f t="shared" si="1"/>
        <v>0</v>
      </c>
      <c r="L15" s="3"/>
      <c r="M15" s="3">
        <f t="shared" si="17"/>
        <v>1.5</v>
      </c>
      <c r="O15" s="11">
        <f t="shared" si="2"/>
        <v>0</v>
      </c>
      <c r="P15" s="11">
        <f t="shared" si="3"/>
        <v>0</v>
      </c>
      <c r="Q15" s="12">
        <f t="shared" si="4"/>
        <v>0</v>
      </c>
      <c r="R15" s="12">
        <f t="shared" si="5"/>
        <v>0</v>
      </c>
      <c r="S15" s="11">
        <f t="shared" si="6"/>
        <v>0</v>
      </c>
      <c r="T15" s="11">
        <f t="shared" si="7"/>
        <v>0</v>
      </c>
      <c r="U15" s="6">
        <f t="shared" si="18"/>
        <v>0</v>
      </c>
      <c r="V15" s="38">
        <f t="shared" si="8"/>
        <v>0</v>
      </c>
      <c r="W15" s="6">
        <f t="shared" si="9"/>
        <v>0</v>
      </c>
      <c r="X15" s="10">
        <f t="shared" si="10"/>
        <v>0</v>
      </c>
      <c r="Y15" s="6">
        <f t="shared" si="11"/>
        <v>0</v>
      </c>
      <c r="Z15" s="6">
        <f t="shared" si="19"/>
        <v>5</v>
      </c>
      <c r="AA15" s="6">
        <f t="shared" si="20"/>
        <v>0</v>
      </c>
      <c r="AC15" s="6" cm="1">
        <f t="array" ref="AC15">IFERROR(_xlfn.IFS(D15&lt;7,$AC$10*8, D15&gt;=7, $AC$10*12),"")</f>
        <v>4</v>
      </c>
      <c r="AD15" s="6">
        <f t="shared" si="21"/>
        <v>0</v>
      </c>
      <c r="AE15" s="3">
        <f t="shared" si="12"/>
        <v>0</v>
      </c>
      <c r="AF15" s="44">
        <f t="shared" si="13"/>
        <v>0</v>
      </c>
      <c r="AG15" s="44">
        <f t="shared" si="14"/>
        <v>0</v>
      </c>
      <c r="AH15" s="3">
        <f t="shared" si="15"/>
        <v>0</v>
      </c>
      <c r="AI15" s="3">
        <f t="shared" si="16"/>
        <v>0</v>
      </c>
      <c r="AJ15" s="3">
        <f>IFERROR(VLOOKUP(G15,'Official Only'!$D$3:$K$23,8,0)*B15,0)</f>
        <v>0</v>
      </c>
      <c r="AK15" s="3">
        <f>IFERROR(VLOOKUP(G15,'Official Only'!$D$3:$K$23,7,0)*B15,0)</f>
        <v>0</v>
      </c>
      <c r="AL15" s="32" t="s">
        <v>38</v>
      </c>
      <c r="AM15" s="1">
        <v>79.81</v>
      </c>
      <c r="AN15" s="52">
        <v>95.59</v>
      </c>
      <c r="AO15" s="1">
        <v>68.38</v>
      </c>
    </row>
    <row r="16" spans="1:41" ht="19" customHeight="1" x14ac:dyDescent="0.2">
      <c r="A16" s="14">
        <v>4</v>
      </c>
      <c r="B16" s="34"/>
      <c r="C16" s="15"/>
      <c r="D16" s="16"/>
      <c r="E16" s="16"/>
      <c r="F16" s="67"/>
      <c r="G16" s="101"/>
      <c r="H16" s="102">
        <f>IFERROR(VLOOKUP(G16,'Official Only'!$D$3:$K$23,8,0),0)</f>
        <v>0</v>
      </c>
      <c r="I16" s="92"/>
      <c r="J16" s="85">
        <f t="shared" si="0"/>
        <v>0</v>
      </c>
      <c r="K16" s="46">
        <f t="shared" si="1"/>
        <v>0</v>
      </c>
      <c r="L16" s="3"/>
      <c r="M16" s="3">
        <f t="shared" si="17"/>
        <v>1.5</v>
      </c>
      <c r="O16" s="11">
        <f t="shared" si="2"/>
        <v>0</v>
      </c>
      <c r="P16" s="11">
        <f t="shared" si="3"/>
        <v>0</v>
      </c>
      <c r="Q16" s="12">
        <f t="shared" si="4"/>
        <v>0</v>
      </c>
      <c r="R16" s="12">
        <f t="shared" si="5"/>
        <v>0</v>
      </c>
      <c r="S16" s="11">
        <f t="shared" si="6"/>
        <v>0</v>
      </c>
      <c r="T16" s="11">
        <f t="shared" si="7"/>
        <v>0</v>
      </c>
      <c r="U16" s="6">
        <f t="shared" si="18"/>
        <v>0</v>
      </c>
      <c r="V16" s="38">
        <f t="shared" si="8"/>
        <v>0</v>
      </c>
      <c r="W16" s="6">
        <f t="shared" si="9"/>
        <v>0</v>
      </c>
      <c r="X16" s="10">
        <f t="shared" si="10"/>
        <v>0</v>
      </c>
      <c r="Y16" s="6">
        <f t="shared" si="11"/>
        <v>0</v>
      </c>
      <c r="Z16" s="6">
        <f t="shared" si="19"/>
        <v>5</v>
      </c>
      <c r="AA16" s="6">
        <f t="shared" si="20"/>
        <v>0</v>
      </c>
      <c r="AC16" s="6" cm="1">
        <f t="array" ref="AC16">IFERROR(_xlfn.IFS(D16&lt;7,$AC$10*8, D16&gt;=7, $AC$10*12),"")</f>
        <v>4</v>
      </c>
      <c r="AD16" s="6">
        <f t="shared" si="21"/>
        <v>0</v>
      </c>
      <c r="AE16" s="3">
        <f t="shared" si="12"/>
        <v>0</v>
      </c>
      <c r="AF16" s="44">
        <f t="shared" si="13"/>
        <v>0</v>
      </c>
      <c r="AG16" s="44">
        <f t="shared" si="14"/>
        <v>0</v>
      </c>
      <c r="AH16" s="3">
        <f t="shared" si="15"/>
        <v>0</v>
      </c>
      <c r="AI16" s="3">
        <f t="shared" si="16"/>
        <v>0</v>
      </c>
      <c r="AJ16" s="3">
        <f>IFERROR(VLOOKUP(G16,'Official Only'!$D$3:$K$23,8,0)*B16,0)</f>
        <v>0</v>
      </c>
      <c r="AK16" s="3">
        <f>IFERROR(VLOOKUP(G16,'Official Only'!$D$3:$K$23,7,0)*B16,0)</f>
        <v>0</v>
      </c>
      <c r="AL16" s="32" t="s">
        <v>39</v>
      </c>
      <c r="AM16" s="1">
        <v>79.81</v>
      </c>
      <c r="AN16" s="52">
        <v>95.59</v>
      </c>
      <c r="AO16" s="1">
        <v>68.38</v>
      </c>
    </row>
    <row r="17" spans="1:41" ht="19" customHeight="1" x14ac:dyDescent="0.2">
      <c r="A17" s="14">
        <v>5</v>
      </c>
      <c r="B17" s="34"/>
      <c r="C17" s="15"/>
      <c r="D17" s="16"/>
      <c r="E17" s="16"/>
      <c r="F17" s="67"/>
      <c r="G17" s="101"/>
      <c r="H17" s="102">
        <f>IFERROR(VLOOKUP(G17,'Official Only'!$D$3:$K$23,8,0),0)</f>
        <v>0</v>
      </c>
      <c r="I17" s="92"/>
      <c r="J17" s="85">
        <f t="shared" si="0"/>
        <v>0</v>
      </c>
      <c r="K17" s="46">
        <f t="shared" si="1"/>
        <v>0</v>
      </c>
      <c r="L17" s="3"/>
      <c r="M17" s="3">
        <f t="shared" si="17"/>
        <v>1.5</v>
      </c>
      <c r="O17" s="11">
        <f t="shared" si="2"/>
        <v>0</v>
      </c>
      <c r="P17" s="11">
        <f t="shared" si="3"/>
        <v>0</v>
      </c>
      <c r="Q17" s="12">
        <f t="shared" si="4"/>
        <v>0</v>
      </c>
      <c r="R17" s="12">
        <f t="shared" si="5"/>
        <v>0</v>
      </c>
      <c r="S17" s="11">
        <f t="shared" si="6"/>
        <v>0</v>
      </c>
      <c r="T17" s="11">
        <f t="shared" si="7"/>
        <v>0</v>
      </c>
      <c r="U17" s="6">
        <f t="shared" si="18"/>
        <v>0</v>
      </c>
      <c r="V17" s="38">
        <f t="shared" si="8"/>
        <v>0</v>
      </c>
      <c r="W17" s="6">
        <f t="shared" si="9"/>
        <v>0</v>
      </c>
      <c r="X17" s="10">
        <f t="shared" si="10"/>
        <v>0</v>
      </c>
      <c r="Y17" s="6">
        <f t="shared" si="11"/>
        <v>0</v>
      </c>
      <c r="Z17" s="6">
        <f t="shared" si="19"/>
        <v>5</v>
      </c>
      <c r="AA17" s="6">
        <f t="shared" si="20"/>
        <v>0</v>
      </c>
      <c r="AC17" s="6" cm="1">
        <f t="array" ref="AC17">IFERROR(_xlfn.IFS(D17&lt;7,$AC$10*8, D17&gt;=7, $AC$10*12),"")</f>
        <v>4</v>
      </c>
      <c r="AD17" s="6">
        <f t="shared" si="21"/>
        <v>0</v>
      </c>
      <c r="AE17" s="3">
        <f t="shared" si="12"/>
        <v>0</v>
      </c>
      <c r="AF17" s="44">
        <f t="shared" si="13"/>
        <v>0</v>
      </c>
      <c r="AG17" s="44">
        <f t="shared" si="14"/>
        <v>0</v>
      </c>
      <c r="AH17" s="3">
        <f t="shared" si="15"/>
        <v>0</v>
      </c>
      <c r="AI17" s="3">
        <f t="shared" si="16"/>
        <v>0</v>
      </c>
      <c r="AJ17" s="3">
        <f>IFERROR(VLOOKUP(G17,'Official Only'!$D$3:$K$23,8,0)*B17,0)</f>
        <v>0</v>
      </c>
      <c r="AK17" s="3">
        <f>IFERROR(VLOOKUP(G17,'Official Only'!$D$3:$K$23,7,0)*B17,0)</f>
        <v>0</v>
      </c>
      <c r="AL17" s="32" t="s">
        <v>40</v>
      </c>
      <c r="AM17" s="1">
        <v>79.81</v>
      </c>
      <c r="AN17" s="52">
        <v>95.59</v>
      </c>
      <c r="AO17" s="1">
        <v>68.38</v>
      </c>
    </row>
    <row r="18" spans="1:41" ht="19" customHeight="1" x14ac:dyDescent="0.2">
      <c r="A18" s="14">
        <v>6</v>
      </c>
      <c r="B18" s="34"/>
      <c r="C18" s="15"/>
      <c r="D18" s="16"/>
      <c r="E18" s="16"/>
      <c r="F18" s="67"/>
      <c r="G18" s="101"/>
      <c r="H18" s="102">
        <f>IFERROR(VLOOKUP(G18,'Official Only'!$D$3:$K$23,8,0),0)</f>
        <v>0</v>
      </c>
      <c r="I18" s="92"/>
      <c r="J18" s="85">
        <f t="shared" si="0"/>
        <v>0</v>
      </c>
      <c r="K18" s="46">
        <f t="shared" si="1"/>
        <v>0</v>
      </c>
      <c r="L18" s="3"/>
      <c r="M18" s="3">
        <f t="shared" si="17"/>
        <v>1.5</v>
      </c>
      <c r="O18" s="11">
        <f t="shared" si="2"/>
        <v>0</v>
      </c>
      <c r="P18" s="11">
        <f t="shared" si="3"/>
        <v>0</v>
      </c>
      <c r="Q18" s="12">
        <f t="shared" si="4"/>
        <v>0</v>
      </c>
      <c r="R18" s="12">
        <f t="shared" si="5"/>
        <v>0</v>
      </c>
      <c r="S18" s="11">
        <f t="shared" si="6"/>
        <v>0</v>
      </c>
      <c r="T18" s="11">
        <f t="shared" si="7"/>
        <v>0</v>
      </c>
      <c r="U18" s="6">
        <f t="shared" si="18"/>
        <v>0</v>
      </c>
      <c r="V18" s="38">
        <f t="shared" si="8"/>
        <v>0</v>
      </c>
      <c r="W18" s="6">
        <f t="shared" si="9"/>
        <v>0</v>
      </c>
      <c r="X18" s="10">
        <f t="shared" si="10"/>
        <v>0</v>
      </c>
      <c r="Y18" s="6">
        <f t="shared" si="11"/>
        <v>0</v>
      </c>
      <c r="Z18" s="6">
        <f t="shared" si="19"/>
        <v>5</v>
      </c>
      <c r="AA18" s="6">
        <f t="shared" si="20"/>
        <v>0</v>
      </c>
      <c r="AC18" s="6" cm="1">
        <f t="array" ref="AC18">IFERROR(_xlfn.IFS(D18&lt;7,$AC$10*8, D18&gt;=7, $AC$10*12),"")</f>
        <v>4</v>
      </c>
      <c r="AD18" s="6">
        <f t="shared" si="21"/>
        <v>0</v>
      </c>
      <c r="AE18" s="3">
        <f t="shared" si="12"/>
        <v>0</v>
      </c>
      <c r="AF18" s="44">
        <f t="shared" si="13"/>
        <v>0</v>
      </c>
      <c r="AG18" s="44">
        <f t="shared" si="14"/>
        <v>0</v>
      </c>
      <c r="AH18" s="3">
        <f t="shared" si="15"/>
        <v>0</v>
      </c>
      <c r="AI18" s="3">
        <f t="shared" si="16"/>
        <v>0</v>
      </c>
      <c r="AJ18" s="3">
        <f>IFERROR(VLOOKUP(G18,'Official Only'!$D$3:$K$23,8,0)*B18,0)</f>
        <v>0</v>
      </c>
      <c r="AK18" s="3">
        <f>IFERROR(VLOOKUP(G18,'Official Only'!$D$3:$K$23,7,0)*B18,0)</f>
        <v>0</v>
      </c>
      <c r="AL18" s="32" t="s">
        <v>41</v>
      </c>
      <c r="AM18" s="1">
        <v>79.81</v>
      </c>
      <c r="AN18" s="52">
        <v>95.59</v>
      </c>
      <c r="AO18" s="1">
        <v>68.38</v>
      </c>
    </row>
    <row r="19" spans="1:41" ht="19" customHeight="1" x14ac:dyDescent="0.2">
      <c r="A19" s="14">
        <v>7</v>
      </c>
      <c r="B19" s="34"/>
      <c r="C19" s="15"/>
      <c r="D19" s="16"/>
      <c r="E19" s="16"/>
      <c r="F19" s="67"/>
      <c r="G19" s="101"/>
      <c r="H19" s="102">
        <f>IFERROR(VLOOKUP(G19,'Official Only'!$D$3:$K$23,8,0),0)</f>
        <v>0</v>
      </c>
      <c r="I19" s="92"/>
      <c r="J19" s="85">
        <f t="shared" si="0"/>
        <v>0</v>
      </c>
      <c r="K19" s="46">
        <f t="shared" si="1"/>
        <v>0</v>
      </c>
      <c r="L19" s="3"/>
      <c r="M19" s="3">
        <f t="shared" si="17"/>
        <v>1.5</v>
      </c>
      <c r="O19" s="11">
        <f t="shared" si="2"/>
        <v>0</v>
      </c>
      <c r="P19" s="11">
        <f t="shared" si="3"/>
        <v>0</v>
      </c>
      <c r="Q19" s="12">
        <f t="shared" si="4"/>
        <v>0</v>
      </c>
      <c r="R19" s="12">
        <f t="shared" si="5"/>
        <v>0</v>
      </c>
      <c r="S19" s="11">
        <f t="shared" si="6"/>
        <v>0</v>
      </c>
      <c r="T19" s="11">
        <f t="shared" si="7"/>
        <v>0</v>
      </c>
      <c r="U19" s="6">
        <f t="shared" si="18"/>
        <v>0</v>
      </c>
      <c r="V19" s="38">
        <f t="shared" si="8"/>
        <v>0</v>
      </c>
      <c r="W19" s="6">
        <f t="shared" si="9"/>
        <v>0</v>
      </c>
      <c r="X19" s="10">
        <f t="shared" si="10"/>
        <v>0</v>
      </c>
      <c r="Y19" s="6">
        <f t="shared" si="11"/>
        <v>0</v>
      </c>
      <c r="Z19" s="6">
        <f t="shared" si="19"/>
        <v>5</v>
      </c>
      <c r="AA19" s="6">
        <f t="shared" si="20"/>
        <v>0</v>
      </c>
      <c r="AC19" s="6" cm="1">
        <f t="array" ref="AC19">IFERROR(_xlfn.IFS(D19&lt;7,$AC$10*8, D19&gt;=7, $AC$10*12),"")</f>
        <v>4</v>
      </c>
      <c r="AD19" s="6">
        <f t="shared" si="21"/>
        <v>0</v>
      </c>
      <c r="AE19" s="3">
        <f t="shared" si="12"/>
        <v>0</v>
      </c>
      <c r="AF19" s="44">
        <f t="shared" si="13"/>
        <v>0</v>
      </c>
      <c r="AG19" s="44">
        <f t="shared" si="14"/>
        <v>0</v>
      </c>
      <c r="AH19" s="3">
        <f t="shared" si="15"/>
        <v>0</v>
      </c>
      <c r="AI19" s="3">
        <f t="shared" si="16"/>
        <v>0</v>
      </c>
      <c r="AJ19" s="3">
        <f>IFERROR(VLOOKUP(G19,'Official Only'!$D$3:$K$23,8,0)*B19,0)</f>
        <v>0</v>
      </c>
      <c r="AK19" s="3">
        <f>IFERROR(VLOOKUP(G19,'Official Only'!$D$3:$K$23,7,0)*B19,0)</f>
        <v>0</v>
      </c>
      <c r="AL19" s="32" t="s">
        <v>42</v>
      </c>
      <c r="AM19" s="1">
        <v>79.81</v>
      </c>
      <c r="AN19" s="52">
        <v>95.59</v>
      </c>
      <c r="AO19" s="1">
        <v>68.38</v>
      </c>
    </row>
    <row r="20" spans="1:41" ht="19" customHeight="1" x14ac:dyDescent="0.2">
      <c r="A20" s="14">
        <v>8</v>
      </c>
      <c r="B20" s="34"/>
      <c r="C20" s="15"/>
      <c r="D20" s="16"/>
      <c r="E20" s="16"/>
      <c r="F20" s="67"/>
      <c r="G20" s="101"/>
      <c r="H20" s="102">
        <f>IFERROR(VLOOKUP(G20,'Official Only'!$D$3:$K$23,8,0),0)</f>
        <v>0</v>
      </c>
      <c r="I20" s="92"/>
      <c r="J20" s="85">
        <f t="shared" si="0"/>
        <v>0</v>
      </c>
      <c r="K20" s="46">
        <f t="shared" si="1"/>
        <v>0</v>
      </c>
      <c r="L20" s="3"/>
      <c r="M20" s="3">
        <f t="shared" si="17"/>
        <v>1.5</v>
      </c>
      <c r="O20" s="11">
        <f t="shared" si="2"/>
        <v>0</v>
      </c>
      <c r="P20" s="11">
        <f t="shared" si="3"/>
        <v>0</v>
      </c>
      <c r="Q20" s="12">
        <f t="shared" si="4"/>
        <v>0</v>
      </c>
      <c r="R20" s="12">
        <f t="shared" si="5"/>
        <v>0</v>
      </c>
      <c r="S20" s="11">
        <f t="shared" si="6"/>
        <v>0</v>
      </c>
      <c r="T20" s="11">
        <f t="shared" si="7"/>
        <v>0</v>
      </c>
      <c r="U20" s="6">
        <f t="shared" si="18"/>
        <v>0</v>
      </c>
      <c r="V20" s="38">
        <f t="shared" si="8"/>
        <v>0</v>
      </c>
      <c r="W20" s="6">
        <f t="shared" si="9"/>
        <v>0</v>
      </c>
      <c r="X20" s="10">
        <f t="shared" si="10"/>
        <v>0</v>
      </c>
      <c r="Y20" s="6">
        <f t="shared" si="11"/>
        <v>0</v>
      </c>
      <c r="Z20" s="6">
        <f t="shared" si="19"/>
        <v>5</v>
      </c>
      <c r="AA20" s="6">
        <f t="shared" si="20"/>
        <v>0</v>
      </c>
      <c r="AC20" s="6" cm="1">
        <f t="array" ref="AC20">IFERROR(_xlfn.IFS(D20&lt;7,$AC$10*8, D20&gt;=7, $AC$10*12),"")</f>
        <v>4</v>
      </c>
      <c r="AD20" s="6">
        <f t="shared" si="21"/>
        <v>0</v>
      </c>
      <c r="AE20" s="3">
        <f t="shared" si="12"/>
        <v>0</v>
      </c>
      <c r="AF20" s="44">
        <f t="shared" si="13"/>
        <v>0</v>
      </c>
      <c r="AG20" s="44">
        <f t="shared" si="14"/>
        <v>0</v>
      </c>
      <c r="AH20" s="3">
        <f t="shared" si="15"/>
        <v>0</v>
      </c>
      <c r="AI20" s="3">
        <f t="shared" si="16"/>
        <v>0</v>
      </c>
      <c r="AJ20" s="3">
        <f>IFERROR(VLOOKUP(G20,'Official Only'!$D$3:$K$23,8,0)*B20,0)</f>
        <v>0</v>
      </c>
      <c r="AK20" s="3">
        <f>IFERROR(VLOOKUP(G20,'Official Only'!$D$3:$K$23,7,0)*B20,0)</f>
        <v>0</v>
      </c>
      <c r="AL20" s="32" t="s">
        <v>8</v>
      </c>
      <c r="AM20" s="1">
        <v>79.81</v>
      </c>
      <c r="AN20" s="52">
        <v>95.59</v>
      </c>
      <c r="AO20" s="1">
        <v>68.38</v>
      </c>
    </row>
    <row r="21" spans="1:41" ht="19" customHeight="1" x14ac:dyDescent="0.2">
      <c r="A21" s="14">
        <v>9</v>
      </c>
      <c r="B21" s="34"/>
      <c r="C21" s="15"/>
      <c r="D21" s="16"/>
      <c r="E21" s="16"/>
      <c r="F21" s="67"/>
      <c r="G21" s="101"/>
      <c r="H21" s="102">
        <f>IFERROR(VLOOKUP(G21,'Official Only'!$D$3:$K$23,8,0),0)</f>
        <v>0</v>
      </c>
      <c r="I21" s="92"/>
      <c r="J21" s="85">
        <f t="shared" si="0"/>
        <v>0</v>
      </c>
      <c r="K21" s="46">
        <f t="shared" si="1"/>
        <v>0</v>
      </c>
      <c r="L21" s="3"/>
      <c r="M21" s="3">
        <f t="shared" si="17"/>
        <v>1.5</v>
      </c>
      <c r="O21" s="11">
        <f t="shared" si="2"/>
        <v>0</v>
      </c>
      <c r="P21" s="11">
        <f t="shared" si="3"/>
        <v>0</v>
      </c>
      <c r="Q21" s="12">
        <f t="shared" si="4"/>
        <v>0</v>
      </c>
      <c r="R21" s="12">
        <f t="shared" si="5"/>
        <v>0</v>
      </c>
      <c r="S21" s="11">
        <f t="shared" si="6"/>
        <v>0</v>
      </c>
      <c r="T21" s="11">
        <f t="shared" si="7"/>
        <v>0</v>
      </c>
      <c r="U21" s="6">
        <f t="shared" si="18"/>
        <v>0</v>
      </c>
      <c r="V21" s="38">
        <f t="shared" si="8"/>
        <v>0</v>
      </c>
      <c r="W21" s="6">
        <f t="shared" si="9"/>
        <v>0</v>
      </c>
      <c r="X21" s="10">
        <f t="shared" si="10"/>
        <v>0</v>
      </c>
      <c r="Y21" s="6">
        <f t="shared" si="11"/>
        <v>0</v>
      </c>
      <c r="Z21" s="6">
        <f t="shared" si="19"/>
        <v>5</v>
      </c>
      <c r="AA21" s="6">
        <f t="shared" si="20"/>
        <v>0</v>
      </c>
      <c r="AC21" s="6" cm="1">
        <f t="array" ref="AC21">IFERROR(_xlfn.IFS(D21&lt;7,$AC$10*8, D21&gt;=7, $AC$10*12),"")</f>
        <v>4</v>
      </c>
      <c r="AD21" s="6">
        <f t="shared" si="21"/>
        <v>0</v>
      </c>
      <c r="AE21" s="3">
        <f t="shared" si="12"/>
        <v>0</v>
      </c>
      <c r="AF21" s="44">
        <f t="shared" si="13"/>
        <v>0</v>
      </c>
      <c r="AG21" s="44">
        <f t="shared" si="14"/>
        <v>0</v>
      </c>
      <c r="AH21" s="3">
        <f t="shared" si="15"/>
        <v>0</v>
      </c>
      <c r="AI21" s="3">
        <f t="shared" si="16"/>
        <v>0</v>
      </c>
      <c r="AJ21" s="3">
        <f>IFERROR(VLOOKUP(G21,'Official Only'!$D$3:$K$23,8,0)*B21,0)</f>
        <v>0</v>
      </c>
      <c r="AK21" s="3">
        <f>IFERROR(VLOOKUP(G21,'Official Only'!$D$3:$K$23,7,0)*B21,0)</f>
        <v>0</v>
      </c>
      <c r="AL21" s="32" t="s">
        <v>43</v>
      </c>
      <c r="AM21" s="1">
        <v>79.81</v>
      </c>
      <c r="AN21" s="52">
        <v>95.59</v>
      </c>
      <c r="AO21" s="1">
        <v>68.38</v>
      </c>
    </row>
    <row r="22" spans="1:41" ht="19" customHeight="1" x14ac:dyDescent="0.2">
      <c r="A22" s="14">
        <v>10</v>
      </c>
      <c r="B22" s="34"/>
      <c r="C22" s="15"/>
      <c r="D22" s="16"/>
      <c r="E22" s="16"/>
      <c r="F22" s="67"/>
      <c r="G22" s="101"/>
      <c r="H22" s="102">
        <f>IFERROR(VLOOKUP(G22,'Official Only'!$D$3:$K$23,8,0),0)</f>
        <v>0</v>
      </c>
      <c r="I22" s="92"/>
      <c r="J22" s="85">
        <f t="shared" si="0"/>
        <v>0</v>
      </c>
      <c r="K22" s="46">
        <f t="shared" si="1"/>
        <v>0</v>
      </c>
      <c r="L22" s="3"/>
      <c r="M22" s="3">
        <f t="shared" si="17"/>
        <v>1.5</v>
      </c>
      <c r="O22" s="11">
        <f t="shared" si="2"/>
        <v>0</v>
      </c>
      <c r="P22" s="11">
        <f t="shared" si="3"/>
        <v>0</v>
      </c>
      <c r="Q22" s="12">
        <f t="shared" si="4"/>
        <v>0</v>
      </c>
      <c r="R22" s="12">
        <f t="shared" si="5"/>
        <v>0</v>
      </c>
      <c r="S22" s="11">
        <f t="shared" si="6"/>
        <v>0</v>
      </c>
      <c r="T22" s="11">
        <f t="shared" si="7"/>
        <v>0</v>
      </c>
      <c r="U22" s="6">
        <f t="shared" si="18"/>
        <v>0</v>
      </c>
      <c r="V22" s="38">
        <f t="shared" si="8"/>
        <v>0</v>
      </c>
      <c r="W22" s="6">
        <f t="shared" si="9"/>
        <v>0</v>
      </c>
      <c r="X22" s="10">
        <f t="shared" si="10"/>
        <v>0</v>
      </c>
      <c r="Y22" s="6">
        <f t="shared" si="11"/>
        <v>0</v>
      </c>
      <c r="Z22" s="6">
        <f t="shared" si="19"/>
        <v>5</v>
      </c>
      <c r="AA22" s="6">
        <f t="shared" si="20"/>
        <v>0</v>
      </c>
      <c r="AC22" s="6" cm="1">
        <f t="array" ref="AC22">IFERROR(_xlfn.IFS(D22&lt;7,$AC$10*8, D22&gt;=7, $AC$10*12),"")</f>
        <v>4</v>
      </c>
      <c r="AD22" s="6">
        <f t="shared" si="21"/>
        <v>0</v>
      </c>
      <c r="AE22" s="3">
        <f t="shared" si="12"/>
        <v>0</v>
      </c>
      <c r="AF22" s="44">
        <f t="shared" si="13"/>
        <v>0</v>
      </c>
      <c r="AG22" s="44">
        <f t="shared" si="14"/>
        <v>0</v>
      </c>
      <c r="AH22" s="3">
        <f t="shared" si="15"/>
        <v>0</v>
      </c>
      <c r="AI22" s="3">
        <f t="shared" si="16"/>
        <v>0</v>
      </c>
      <c r="AJ22" s="3">
        <f>IFERROR(VLOOKUP(G22,'Official Only'!$D$3:$K$23,8,0)*B22,0)</f>
        <v>0</v>
      </c>
      <c r="AK22" s="3">
        <f>IFERROR(VLOOKUP(G22,'Official Only'!$D$3:$K$23,7,0)*B22,0)</f>
        <v>0</v>
      </c>
      <c r="AL22" s="32" t="s">
        <v>44</v>
      </c>
      <c r="AM22" s="1">
        <v>79.81</v>
      </c>
      <c r="AN22" s="52">
        <v>95.59</v>
      </c>
      <c r="AO22" s="1">
        <v>68.38</v>
      </c>
    </row>
    <row r="23" spans="1:41" ht="19" customHeight="1" x14ac:dyDescent="0.2">
      <c r="A23" s="14">
        <v>11</v>
      </c>
      <c r="B23" s="34"/>
      <c r="C23" s="15"/>
      <c r="D23" s="16"/>
      <c r="E23" s="16"/>
      <c r="F23" s="67"/>
      <c r="G23" s="101"/>
      <c r="H23" s="102">
        <f>IFERROR(VLOOKUP(G23,'Official Only'!$D$3:$K$23,8,0),0)</f>
        <v>0</v>
      </c>
      <c r="I23" s="92"/>
      <c r="J23" s="85">
        <f t="shared" si="0"/>
        <v>0</v>
      </c>
      <c r="K23" s="46">
        <f t="shared" si="1"/>
        <v>0</v>
      </c>
      <c r="L23" s="3"/>
      <c r="M23" s="3">
        <f t="shared" si="17"/>
        <v>1.5</v>
      </c>
      <c r="O23" s="11">
        <f t="shared" si="2"/>
        <v>0</v>
      </c>
      <c r="P23" s="11">
        <f t="shared" si="3"/>
        <v>0</v>
      </c>
      <c r="Q23" s="12">
        <f t="shared" si="4"/>
        <v>0</v>
      </c>
      <c r="R23" s="12">
        <f t="shared" si="5"/>
        <v>0</v>
      </c>
      <c r="S23" s="11">
        <f t="shared" si="6"/>
        <v>0</v>
      </c>
      <c r="T23" s="11">
        <f t="shared" si="7"/>
        <v>0</v>
      </c>
      <c r="U23" s="6">
        <f t="shared" si="18"/>
        <v>0</v>
      </c>
      <c r="V23" s="38">
        <f t="shared" si="8"/>
        <v>0</v>
      </c>
      <c r="W23" s="6">
        <f t="shared" si="9"/>
        <v>0</v>
      </c>
      <c r="X23" s="10">
        <f t="shared" si="10"/>
        <v>0</v>
      </c>
      <c r="Y23" s="6">
        <f t="shared" si="11"/>
        <v>0</v>
      </c>
      <c r="Z23" s="6">
        <f t="shared" si="19"/>
        <v>5</v>
      </c>
      <c r="AA23" s="6">
        <f t="shared" si="20"/>
        <v>0</v>
      </c>
      <c r="AC23" s="6" cm="1">
        <f t="array" ref="AC23">IFERROR(_xlfn.IFS(D23&lt;7,$AC$10*8, D23&gt;=7, $AC$10*12),"")</f>
        <v>4</v>
      </c>
      <c r="AD23" s="6">
        <f t="shared" si="21"/>
        <v>0</v>
      </c>
      <c r="AE23" s="3">
        <f t="shared" si="12"/>
        <v>0</v>
      </c>
      <c r="AF23" s="44">
        <f t="shared" si="13"/>
        <v>0</v>
      </c>
      <c r="AG23" s="44">
        <f t="shared" si="14"/>
        <v>0</v>
      </c>
      <c r="AH23" s="3">
        <f t="shared" si="15"/>
        <v>0</v>
      </c>
      <c r="AI23" s="3">
        <f t="shared" si="16"/>
        <v>0</v>
      </c>
      <c r="AJ23" s="3">
        <f>IFERROR(VLOOKUP(G23,'Official Only'!$D$3:$K$23,8,0)*B23,0)</f>
        <v>0</v>
      </c>
      <c r="AK23" s="3">
        <f>IFERROR(VLOOKUP(G23,'Official Only'!$D$3:$K$23,7,0)*B23,0)</f>
        <v>0</v>
      </c>
      <c r="AL23" s="32" t="s">
        <v>45</v>
      </c>
      <c r="AM23" s="1">
        <v>79.81</v>
      </c>
      <c r="AN23" s="52">
        <v>95.59</v>
      </c>
      <c r="AO23" s="1">
        <v>68.38</v>
      </c>
    </row>
    <row r="24" spans="1:41" ht="19" customHeight="1" x14ac:dyDescent="0.2">
      <c r="A24" s="14">
        <v>12</v>
      </c>
      <c r="B24" s="34"/>
      <c r="C24" s="15"/>
      <c r="D24" s="16"/>
      <c r="E24" s="16"/>
      <c r="F24" s="67"/>
      <c r="G24" s="101"/>
      <c r="H24" s="102">
        <f>IFERROR(VLOOKUP(G24,'Official Only'!$D$3:$K$23,8,0),0)</f>
        <v>0</v>
      </c>
      <c r="I24" s="92"/>
      <c r="J24" s="85">
        <f t="shared" si="0"/>
        <v>0</v>
      </c>
      <c r="K24" s="46">
        <f t="shared" si="1"/>
        <v>0</v>
      </c>
      <c r="L24" s="3"/>
      <c r="M24" s="3">
        <f t="shared" si="17"/>
        <v>1.5</v>
      </c>
      <c r="O24" s="11">
        <f t="shared" si="2"/>
        <v>0</v>
      </c>
      <c r="P24" s="11">
        <f t="shared" si="3"/>
        <v>0</v>
      </c>
      <c r="Q24" s="12">
        <f t="shared" si="4"/>
        <v>0</v>
      </c>
      <c r="R24" s="12">
        <f t="shared" si="5"/>
        <v>0</v>
      </c>
      <c r="S24" s="11">
        <f t="shared" si="6"/>
        <v>0</v>
      </c>
      <c r="T24" s="11">
        <f t="shared" si="7"/>
        <v>0</v>
      </c>
      <c r="U24" s="6">
        <f t="shared" si="18"/>
        <v>0</v>
      </c>
      <c r="V24" s="38">
        <f t="shared" si="8"/>
        <v>0</v>
      </c>
      <c r="W24" s="6">
        <f t="shared" si="9"/>
        <v>0</v>
      </c>
      <c r="X24" s="10">
        <f t="shared" si="10"/>
        <v>0</v>
      </c>
      <c r="Y24" s="6">
        <f t="shared" si="11"/>
        <v>0</v>
      </c>
      <c r="Z24" s="6">
        <f t="shared" si="19"/>
        <v>5</v>
      </c>
      <c r="AA24" s="6">
        <f t="shared" si="20"/>
        <v>0</v>
      </c>
      <c r="AC24" s="6" cm="1">
        <f t="array" ref="AC24">IFERROR(_xlfn.IFS(D24&lt;7,$AC$10*8, D24&gt;=7, $AC$10*12),"")</f>
        <v>4</v>
      </c>
      <c r="AD24" s="6">
        <f t="shared" si="21"/>
        <v>0</v>
      </c>
      <c r="AE24" s="3">
        <f t="shared" si="12"/>
        <v>0</v>
      </c>
      <c r="AF24" s="44">
        <f t="shared" si="13"/>
        <v>0</v>
      </c>
      <c r="AG24" s="44">
        <f t="shared" si="14"/>
        <v>0</v>
      </c>
      <c r="AH24" s="3">
        <f t="shared" si="15"/>
        <v>0</v>
      </c>
      <c r="AI24" s="3">
        <f t="shared" si="16"/>
        <v>0</v>
      </c>
      <c r="AJ24" s="3">
        <f>IFERROR(VLOOKUP(G24,'Official Only'!$D$3:$K$23,8,0)*B24,0)</f>
        <v>0</v>
      </c>
      <c r="AK24" s="3">
        <f>IFERROR(VLOOKUP(G24,'Official Only'!$D$3:$K$23,7,0)*B24,0)</f>
        <v>0</v>
      </c>
      <c r="AL24" s="32" t="s">
        <v>46</v>
      </c>
      <c r="AM24" s="1">
        <v>79.81</v>
      </c>
      <c r="AN24" s="52">
        <v>95.59</v>
      </c>
      <c r="AO24" s="1">
        <v>68.38</v>
      </c>
    </row>
    <row r="25" spans="1:41" ht="19" customHeight="1" x14ac:dyDescent="0.2">
      <c r="A25" s="14">
        <v>13</v>
      </c>
      <c r="B25" s="34"/>
      <c r="C25" s="15"/>
      <c r="D25" s="16"/>
      <c r="E25" s="16"/>
      <c r="F25" s="67"/>
      <c r="G25" s="101"/>
      <c r="H25" s="102">
        <f>IFERROR(VLOOKUP(G25,'Official Only'!$D$3:$K$23,8,0),0)</f>
        <v>0</v>
      </c>
      <c r="I25" s="92"/>
      <c r="J25" s="85">
        <f t="shared" si="0"/>
        <v>0</v>
      </c>
      <c r="K25" s="46">
        <f t="shared" si="1"/>
        <v>0</v>
      </c>
      <c r="L25" s="3"/>
      <c r="M25" s="3">
        <f t="shared" si="17"/>
        <v>1.5</v>
      </c>
      <c r="O25" s="11">
        <f t="shared" si="2"/>
        <v>0</v>
      </c>
      <c r="P25" s="11">
        <f t="shared" si="3"/>
        <v>0</v>
      </c>
      <c r="Q25" s="12">
        <f t="shared" si="4"/>
        <v>0</v>
      </c>
      <c r="R25" s="12">
        <f t="shared" si="5"/>
        <v>0</v>
      </c>
      <c r="S25" s="11">
        <f t="shared" si="6"/>
        <v>0</v>
      </c>
      <c r="T25" s="11">
        <f t="shared" si="7"/>
        <v>0</v>
      </c>
      <c r="U25" s="6">
        <f t="shared" si="18"/>
        <v>0</v>
      </c>
      <c r="V25" s="38">
        <f t="shared" si="8"/>
        <v>0</v>
      </c>
      <c r="W25" s="6">
        <f t="shared" si="9"/>
        <v>0</v>
      </c>
      <c r="X25" s="10">
        <f t="shared" si="10"/>
        <v>0</v>
      </c>
      <c r="Y25" s="6">
        <f t="shared" si="11"/>
        <v>0</v>
      </c>
      <c r="Z25" s="6">
        <f t="shared" si="19"/>
        <v>5</v>
      </c>
      <c r="AA25" s="6">
        <f t="shared" si="20"/>
        <v>0</v>
      </c>
      <c r="AC25" s="6" cm="1">
        <f t="array" ref="AC25">IFERROR(_xlfn.IFS(D25&lt;7,$AC$10*8, D25&gt;=7, $AC$10*12),"")</f>
        <v>4</v>
      </c>
      <c r="AD25" s="6">
        <f t="shared" si="21"/>
        <v>0</v>
      </c>
      <c r="AE25" s="3">
        <f t="shared" si="12"/>
        <v>0</v>
      </c>
      <c r="AF25" s="44">
        <f t="shared" si="13"/>
        <v>0</v>
      </c>
      <c r="AG25" s="44">
        <f t="shared" si="14"/>
        <v>0</v>
      </c>
      <c r="AH25" s="3">
        <f t="shared" si="15"/>
        <v>0</v>
      </c>
      <c r="AI25" s="3">
        <f t="shared" si="16"/>
        <v>0</v>
      </c>
      <c r="AJ25" s="3">
        <f>IFERROR(VLOOKUP(G25,'Official Only'!$D$3:$K$23,8,0)*B25,0)</f>
        <v>0</v>
      </c>
      <c r="AK25" s="3">
        <f>IFERROR(VLOOKUP(G25,'Official Only'!$D$3:$K$23,7,0)*B25,0)</f>
        <v>0</v>
      </c>
      <c r="AL25" s="32" t="s">
        <v>47</v>
      </c>
      <c r="AM25" s="1">
        <v>79.81</v>
      </c>
      <c r="AN25" s="52">
        <v>95.59</v>
      </c>
      <c r="AO25" s="1">
        <v>68.38</v>
      </c>
    </row>
    <row r="26" spans="1:41" ht="19" customHeight="1" x14ac:dyDescent="0.2">
      <c r="A26" s="14">
        <v>14</v>
      </c>
      <c r="B26" s="33"/>
      <c r="C26" s="15"/>
      <c r="D26" s="16"/>
      <c r="E26" s="16"/>
      <c r="F26" s="67"/>
      <c r="G26" s="101"/>
      <c r="H26" s="102">
        <f>IFERROR(VLOOKUP(G26,'Official Only'!$D$3:$K$23,8,0),0)</f>
        <v>0</v>
      </c>
      <c r="I26" s="92"/>
      <c r="J26" s="85">
        <f t="shared" si="0"/>
        <v>0</v>
      </c>
      <c r="K26" s="46">
        <f t="shared" si="1"/>
        <v>0</v>
      </c>
      <c r="L26" s="3"/>
      <c r="M26" s="3">
        <f t="shared" si="17"/>
        <v>1.5</v>
      </c>
      <c r="O26" s="11">
        <f t="shared" si="2"/>
        <v>0</v>
      </c>
      <c r="P26" s="11">
        <f t="shared" si="3"/>
        <v>0</v>
      </c>
      <c r="Q26" s="12">
        <f t="shared" si="4"/>
        <v>0</v>
      </c>
      <c r="R26" s="12">
        <f t="shared" si="5"/>
        <v>0</v>
      </c>
      <c r="S26" s="11">
        <f t="shared" si="6"/>
        <v>0</v>
      </c>
      <c r="T26" s="11">
        <f t="shared" si="7"/>
        <v>0</v>
      </c>
      <c r="U26" s="6">
        <f t="shared" si="18"/>
        <v>0</v>
      </c>
      <c r="V26" s="38">
        <f t="shared" si="8"/>
        <v>0</v>
      </c>
      <c r="W26" s="6">
        <f t="shared" si="9"/>
        <v>0</v>
      </c>
      <c r="X26" s="10">
        <f t="shared" si="10"/>
        <v>0</v>
      </c>
      <c r="Y26" s="6">
        <f t="shared" si="11"/>
        <v>0</v>
      </c>
      <c r="Z26" s="6">
        <f>$Z$10</f>
        <v>5</v>
      </c>
      <c r="AA26" s="6">
        <f t="shared" si="20"/>
        <v>0</v>
      </c>
      <c r="AC26" s="6" cm="1">
        <f t="array" ref="AC26">IFERROR(_xlfn.IFS(D26&lt;7,$AC$10*8, D26&gt;=7, $AC$10*12),"")</f>
        <v>4</v>
      </c>
      <c r="AD26" s="6">
        <f t="shared" si="21"/>
        <v>0</v>
      </c>
      <c r="AE26" s="3">
        <f t="shared" si="12"/>
        <v>0</v>
      </c>
      <c r="AF26" s="44">
        <f t="shared" si="13"/>
        <v>0</v>
      </c>
      <c r="AG26" s="44">
        <f t="shared" si="14"/>
        <v>0</v>
      </c>
      <c r="AH26" s="3">
        <f t="shared" si="15"/>
        <v>0</v>
      </c>
      <c r="AI26" s="3">
        <f t="shared" si="16"/>
        <v>0</v>
      </c>
      <c r="AJ26" s="3">
        <f>IFERROR(VLOOKUP(G26,'Official Only'!$D$3:$K$23,8,0)*B26,0)</f>
        <v>0</v>
      </c>
      <c r="AK26" s="3">
        <f>IFERROR(VLOOKUP(G26,'Official Only'!$D$3:$K$23,7,0)*B26,0)</f>
        <v>0</v>
      </c>
    </row>
    <row r="27" spans="1:41" ht="19" customHeight="1" x14ac:dyDescent="0.2">
      <c r="A27" s="14">
        <v>15</v>
      </c>
      <c r="B27" s="33"/>
      <c r="C27" s="15"/>
      <c r="D27" s="16"/>
      <c r="E27" s="16"/>
      <c r="F27" s="67"/>
      <c r="G27" s="101"/>
      <c r="H27" s="102">
        <f>IFERROR(VLOOKUP(G27,'Official Only'!$D$3:$K$23,8,0),0)</f>
        <v>0</v>
      </c>
      <c r="I27" s="92"/>
      <c r="J27" s="85">
        <f t="shared" si="0"/>
        <v>0</v>
      </c>
      <c r="K27" s="46">
        <f t="shared" si="1"/>
        <v>0</v>
      </c>
      <c r="L27" s="3"/>
      <c r="M27" s="3">
        <f t="shared" si="17"/>
        <v>1.5</v>
      </c>
      <c r="O27" s="11">
        <f t="shared" si="2"/>
        <v>0</v>
      </c>
      <c r="P27" s="11">
        <f t="shared" si="3"/>
        <v>0</v>
      </c>
      <c r="Q27" s="12">
        <f t="shared" si="4"/>
        <v>0</v>
      </c>
      <c r="R27" s="12">
        <f t="shared" si="5"/>
        <v>0</v>
      </c>
      <c r="S27" s="11">
        <f t="shared" si="6"/>
        <v>0</v>
      </c>
      <c r="T27" s="11">
        <f t="shared" si="7"/>
        <v>0</v>
      </c>
      <c r="U27" s="6">
        <f t="shared" si="18"/>
        <v>0</v>
      </c>
      <c r="V27" s="38">
        <f t="shared" si="8"/>
        <v>0</v>
      </c>
      <c r="W27" s="6">
        <f t="shared" si="9"/>
        <v>0</v>
      </c>
      <c r="X27" s="10">
        <f t="shared" si="10"/>
        <v>0</v>
      </c>
      <c r="Y27" s="6">
        <f t="shared" si="11"/>
        <v>0</v>
      </c>
      <c r="Z27" s="6">
        <f t="shared" si="19"/>
        <v>5</v>
      </c>
      <c r="AA27" s="6">
        <f t="shared" si="20"/>
        <v>0</v>
      </c>
      <c r="AC27" s="6" cm="1">
        <f t="array" ref="AC27">IFERROR(_xlfn.IFS(D27&lt;7,$AC$10*8, D27&gt;=7, $AC$10*12),"")</f>
        <v>4</v>
      </c>
      <c r="AD27" s="6">
        <f t="shared" si="21"/>
        <v>0</v>
      </c>
      <c r="AE27" s="3">
        <f t="shared" si="12"/>
        <v>0</v>
      </c>
      <c r="AF27" s="44">
        <f t="shared" si="13"/>
        <v>0</v>
      </c>
      <c r="AG27" s="44">
        <f t="shared" si="14"/>
        <v>0</v>
      </c>
      <c r="AH27" s="3">
        <f t="shared" si="15"/>
        <v>0</v>
      </c>
      <c r="AI27" s="3">
        <f t="shared" si="16"/>
        <v>0</v>
      </c>
      <c r="AJ27" s="3">
        <f>IFERROR(VLOOKUP(G27,'Official Only'!$D$3:$K$23,8,0)*B27,0)</f>
        <v>0</v>
      </c>
      <c r="AK27" s="3">
        <f>IFERROR(VLOOKUP(G27,'Official Only'!$D$3:$K$23,7,0)*B27,0)</f>
        <v>0</v>
      </c>
    </row>
    <row r="28" spans="1:41" ht="19" customHeight="1" x14ac:dyDescent="0.2">
      <c r="A28" s="14">
        <v>16</v>
      </c>
      <c r="B28" s="33"/>
      <c r="C28" s="15"/>
      <c r="D28" s="16"/>
      <c r="E28" s="16"/>
      <c r="F28" s="67"/>
      <c r="G28" s="101"/>
      <c r="H28" s="102">
        <f>IFERROR(VLOOKUP(G28,'Official Only'!$D$3:$K$23,8,0),0)</f>
        <v>0</v>
      </c>
      <c r="I28" s="92"/>
      <c r="J28" s="85">
        <f t="shared" si="0"/>
        <v>0</v>
      </c>
      <c r="K28" s="46">
        <f t="shared" si="1"/>
        <v>0</v>
      </c>
      <c r="L28" s="3"/>
      <c r="M28" s="3">
        <f t="shared" si="17"/>
        <v>1.5</v>
      </c>
      <c r="O28" s="11">
        <f t="shared" si="2"/>
        <v>0</v>
      </c>
      <c r="P28" s="11">
        <f t="shared" si="3"/>
        <v>0</v>
      </c>
      <c r="Q28" s="12">
        <f t="shared" si="4"/>
        <v>0</v>
      </c>
      <c r="R28" s="12">
        <f t="shared" si="5"/>
        <v>0</v>
      </c>
      <c r="S28" s="11">
        <f t="shared" si="6"/>
        <v>0</v>
      </c>
      <c r="T28" s="11">
        <f t="shared" si="7"/>
        <v>0</v>
      </c>
      <c r="U28" s="6">
        <f t="shared" si="18"/>
        <v>0</v>
      </c>
      <c r="V28" s="38">
        <f t="shared" si="8"/>
        <v>0</v>
      </c>
      <c r="W28" s="6">
        <f t="shared" si="9"/>
        <v>0</v>
      </c>
      <c r="X28" s="10">
        <f t="shared" si="10"/>
        <v>0</v>
      </c>
      <c r="Y28" s="6">
        <f t="shared" si="11"/>
        <v>0</v>
      </c>
      <c r="Z28" s="6">
        <f t="shared" si="19"/>
        <v>5</v>
      </c>
      <c r="AA28" s="6">
        <f t="shared" si="20"/>
        <v>0</v>
      </c>
      <c r="AC28" s="6" cm="1">
        <f t="array" ref="AC28">IFERROR(_xlfn.IFS(D28&lt;7,$AC$10*8, D28&gt;=7, $AC$10*12),"")</f>
        <v>4</v>
      </c>
      <c r="AD28" s="6">
        <f t="shared" si="21"/>
        <v>0</v>
      </c>
      <c r="AE28" s="3">
        <f t="shared" si="12"/>
        <v>0</v>
      </c>
      <c r="AF28" s="44">
        <f t="shared" si="13"/>
        <v>0</v>
      </c>
      <c r="AG28" s="44">
        <f t="shared" si="14"/>
        <v>0</v>
      </c>
      <c r="AH28" s="3">
        <f t="shared" si="15"/>
        <v>0</v>
      </c>
      <c r="AI28" s="3">
        <f t="shared" si="16"/>
        <v>0</v>
      </c>
      <c r="AJ28" s="3">
        <f>IFERROR(VLOOKUP(G28,'Official Only'!$D$3:$K$23,8,0)*B28,0)</f>
        <v>0</v>
      </c>
      <c r="AK28" s="3">
        <f>IFERROR(VLOOKUP(G28,'Official Only'!$D$3:$K$23,7,0)*B28,0)</f>
        <v>0</v>
      </c>
    </row>
    <row r="29" spans="1:41" ht="19" customHeight="1" x14ac:dyDescent="0.2">
      <c r="A29" s="14">
        <v>17</v>
      </c>
      <c r="B29" s="33"/>
      <c r="C29" s="15"/>
      <c r="D29" s="16"/>
      <c r="E29" s="16"/>
      <c r="F29" s="67"/>
      <c r="G29" s="101"/>
      <c r="H29" s="102">
        <f>IFERROR(VLOOKUP(G29,'Official Only'!$D$3:$K$23,8,0),0)</f>
        <v>0</v>
      </c>
      <c r="I29" s="92"/>
      <c r="J29" s="85">
        <f t="shared" si="0"/>
        <v>0</v>
      </c>
      <c r="K29" s="46">
        <f t="shared" si="1"/>
        <v>0</v>
      </c>
      <c r="L29" s="3"/>
      <c r="M29" s="3">
        <f t="shared" si="17"/>
        <v>1.5</v>
      </c>
      <c r="O29" s="11">
        <f t="shared" si="2"/>
        <v>0</v>
      </c>
      <c r="P29" s="11">
        <f t="shared" si="3"/>
        <v>0</v>
      </c>
      <c r="Q29" s="12">
        <f t="shared" si="4"/>
        <v>0</v>
      </c>
      <c r="R29" s="12">
        <f t="shared" si="5"/>
        <v>0</v>
      </c>
      <c r="S29" s="11">
        <f t="shared" si="6"/>
        <v>0</v>
      </c>
      <c r="T29" s="11">
        <f t="shared" si="7"/>
        <v>0</v>
      </c>
      <c r="U29" s="6">
        <f t="shared" si="18"/>
        <v>0</v>
      </c>
      <c r="V29" s="38">
        <f t="shared" si="8"/>
        <v>0</v>
      </c>
      <c r="W29" s="6">
        <f t="shared" si="9"/>
        <v>0</v>
      </c>
      <c r="X29" s="10">
        <f t="shared" si="10"/>
        <v>0</v>
      </c>
      <c r="Y29" s="6">
        <f t="shared" si="11"/>
        <v>0</v>
      </c>
      <c r="Z29" s="6">
        <f t="shared" si="19"/>
        <v>5</v>
      </c>
      <c r="AA29" s="6">
        <f t="shared" si="20"/>
        <v>0</v>
      </c>
      <c r="AC29" s="6" cm="1">
        <f t="array" ref="AC29">IFERROR(_xlfn.IFS(D29&lt;7,$AC$10*8, D29&gt;=7, $AC$10*12),"")</f>
        <v>4</v>
      </c>
      <c r="AD29" s="6">
        <f t="shared" si="21"/>
        <v>0</v>
      </c>
      <c r="AE29" s="3">
        <f t="shared" si="12"/>
        <v>0</v>
      </c>
      <c r="AF29" s="44">
        <f t="shared" si="13"/>
        <v>0</v>
      </c>
      <c r="AG29" s="44">
        <f t="shared" si="14"/>
        <v>0</v>
      </c>
      <c r="AH29" s="3">
        <f t="shared" si="15"/>
        <v>0</v>
      </c>
      <c r="AI29" s="3">
        <f t="shared" si="16"/>
        <v>0</v>
      </c>
      <c r="AJ29" s="3">
        <f>IFERROR(VLOOKUP(G29,'Official Only'!$D$3:$K$23,8,0)*B29,0)</f>
        <v>0</v>
      </c>
      <c r="AK29" s="3">
        <f>IFERROR(VLOOKUP(G29,'Official Only'!$D$3:$K$23,7,0)*B29,0)</f>
        <v>0</v>
      </c>
    </row>
    <row r="30" spans="1:41" ht="19" customHeight="1" x14ac:dyDescent="0.2">
      <c r="A30" s="14">
        <v>18</v>
      </c>
      <c r="B30" s="33"/>
      <c r="C30" s="15"/>
      <c r="D30" s="16"/>
      <c r="E30" s="16"/>
      <c r="F30" s="67"/>
      <c r="G30" s="101"/>
      <c r="H30" s="102">
        <f>IFERROR(VLOOKUP(G30,'Official Only'!$D$3:$K$23,8,0),0)</f>
        <v>0</v>
      </c>
      <c r="I30" s="92"/>
      <c r="J30" s="85">
        <f t="shared" si="0"/>
        <v>0</v>
      </c>
      <c r="K30" s="46">
        <f t="shared" si="1"/>
        <v>0</v>
      </c>
      <c r="L30" s="3"/>
      <c r="M30" s="3">
        <f t="shared" si="17"/>
        <v>1.5</v>
      </c>
      <c r="O30" s="11">
        <f t="shared" si="2"/>
        <v>0</v>
      </c>
      <c r="P30" s="11">
        <f t="shared" si="3"/>
        <v>0</v>
      </c>
      <c r="Q30" s="12">
        <f t="shared" si="4"/>
        <v>0</v>
      </c>
      <c r="R30" s="12">
        <f t="shared" si="5"/>
        <v>0</v>
      </c>
      <c r="S30" s="11">
        <f t="shared" si="6"/>
        <v>0</v>
      </c>
      <c r="T30" s="11">
        <f t="shared" si="7"/>
        <v>0</v>
      </c>
      <c r="U30" s="6">
        <f t="shared" si="18"/>
        <v>0</v>
      </c>
      <c r="V30" s="38">
        <f t="shared" si="8"/>
        <v>0</v>
      </c>
      <c r="W30" s="6">
        <f t="shared" si="9"/>
        <v>0</v>
      </c>
      <c r="X30" s="10">
        <f t="shared" si="10"/>
        <v>0</v>
      </c>
      <c r="Y30" s="6">
        <f t="shared" si="11"/>
        <v>0</v>
      </c>
      <c r="Z30" s="6">
        <f t="shared" si="19"/>
        <v>5</v>
      </c>
      <c r="AA30" s="6">
        <f t="shared" si="20"/>
        <v>0</v>
      </c>
      <c r="AC30" s="6" cm="1">
        <f t="array" ref="AC30">IFERROR(_xlfn.IFS(D30&lt;7,$AC$10*8, D30&gt;=7, $AC$10*12),"")</f>
        <v>4</v>
      </c>
      <c r="AD30" s="6">
        <f t="shared" si="21"/>
        <v>0</v>
      </c>
      <c r="AE30" s="3">
        <f t="shared" si="12"/>
        <v>0</v>
      </c>
      <c r="AF30" s="44">
        <f t="shared" si="13"/>
        <v>0</v>
      </c>
      <c r="AG30" s="44">
        <f t="shared" si="14"/>
        <v>0</v>
      </c>
      <c r="AH30" s="3">
        <f t="shared" si="15"/>
        <v>0</v>
      </c>
      <c r="AI30" s="3">
        <f t="shared" si="16"/>
        <v>0</v>
      </c>
      <c r="AJ30" s="3">
        <f>IFERROR(VLOOKUP(G30,'Official Only'!$D$3:$K$23,8,0)*B30,0)</f>
        <v>0</v>
      </c>
      <c r="AK30" s="3">
        <f>IFERROR(VLOOKUP(G30,'Official Only'!$D$3:$K$23,7,0)*B30,0)</f>
        <v>0</v>
      </c>
    </row>
    <row r="31" spans="1:41" ht="19" customHeight="1" x14ac:dyDescent="0.2">
      <c r="A31" s="14">
        <v>19</v>
      </c>
      <c r="B31" s="33"/>
      <c r="C31" s="15"/>
      <c r="D31" s="16"/>
      <c r="E31" s="16"/>
      <c r="F31" s="67"/>
      <c r="G31" s="101"/>
      <c r="H31" s="102">
        <f>IFERROR(VLOOKUP(G31,'Official Only'!$D$3:$K$23,8,0),0)</f>
        <v>0</v>
      </c>
      <c r="I31" s="92"/>
      <c r="J31" s="85">
        <f t="shared" si="0"/>
        <v>0</v>
      </c>
      <c r="K31" s="46">
        <f t="shared" si="1"/>
        <v>0</v>
      </c>
      <c r="L31" s="3"/>
      <c r="M31" s="3">
        <f t="shared" si="17"/>
        <v>1.5</v>
      </c>
      <c r="O31" s="11">
        <f t="shared" si="2"/>
        <v>0</v>
      </c>
      <c r="P31" s="11">
        <f t="shared" si="3"/>
        <v>0</v>
      </c>
      <c r="Q31" s="12">
        <f t="shared" si="4"/>
        <v>0</v>
      </c>
      <c r="R31" s="12">
        <f t="shared" si="5"/>
        <v>0</v>
      </c>
      <c r="S31" s="11">
        <f t="shared" si="6"/>
        <v>0</v>
      </c>
      <c r="T31" s="11">
        <f t="shared" si="7"/>
        <v>0</v>
      </c>
      <c r="U31" s="6">
        <f t="shared" si="18"/>
        <v>0</v>
      </c>
      <c r="V31" s="38">
        <f t="shared" si="8"/>
        <v>0</v>
      </c>
      <c r="W31" s="6">
        <f t="shared" si="9"/>
        <v>0</v>
      </c>
      <c r="X31" s="10">
        <f t="shared" si="10"/>
        <v>0</v>
      </c>
      <c r="Y31" s="6">
        <f t="shared" si="11"/>
        <v>0</v>
      </c>
      <c r="Z31" s="6">
        <f t="shared" si="19"/>
        <v>5</v>
      </c>
      <c r="AA31" s="6">
        <f t="shared" si="20"/>
        <v>0</v>
      </c>
      <c r="AC31" s="6" cm="1">
        <f t="array" ref="AC31">IFERROR(_xlfn.IFS(D31&lt;7,$AC$10*8, D31&gt;=7, $AC$10*12),"")</f>
        <v>4</v>
      </c>
      <c r="AD31" s="6">
        <f t="shared" si="21"/>
        <v>0</v>
      </c>
      <c r="AE31" s="3">
        <f t="shared" si="12"/>
        <v>0</v>
      </c>
      <c r="AF31" s="44">
        <f t="shared" si="13"/>
        <v>0</v>
      </c>
      <c r="AG31" s="44">
        <f t="shared" si="14"/>
        <v>0</v>
      </c>
      <c r="AH31" s="3">
        <f t="shared" si="15"/>
        <v>0</v>
      </c>
      <c r="AI31" s="3">
        <f t="shared" si="16"/>
        <v>0</v>
      </c>
      <c r="AJ31" s="3">
        <f>IFERROR(VLOOKUP(G31,'Official Only'!$D$3:$K$23,8,0)*B31,0)</f>
        <v>0</v>
      </c>
      <c r="AK31" s="3">
        <f>IFERROR(VLOOKUP(G31,'Official Only'!$D$3:$K$23,7,0)*B31,0)</f>
        <v>0</v>
      </c>
    </row>
    <row r="32" spans="1:41" ht="19" customHeight="1" x14ac:dyDescent="0.2">
      <c r="A32" s="14">
        <v>20</v>
      </c>
      <c r="B32" s="33"/>
      <c r="C32" s="15"/>
      <c r="D32" s="16"/>
      <c r="E32" s="16"/>
      <c r="F32" s="67"/>
      <c r="G32" s="101"/>
      <c r="H32" s="102">
        <f>IFERROR(VLOOKUP(G32,'Official Only'!$D$3:$K$23,8,0),0)</f>
        <v>0</v>
      </c>
      <c r="I32" s="92"/>
      <c r="J32" s="85">
        <f t="shared" si="0"/>
        <v>0</v>
      </c>
      <c r="K32" s="46">
        <f t="shared" si="1"/>
        <v>0</v>
      </c>
      <c r="L32" s="3"/>
      <c r="M32" s="3">
        <f t="shared" si="17"/>
        <v>1.5</v>
      </c>
      <c r="O32" s="11">
        <f t="shared" si="2"/>
        <v>0</v>
      </c>
      <c r="P32" s="11">
        <f t="shared" si="3"/>
        <v>0</v>
      </c>
      <c r="Q32" s="12">
        <f t="shared" si="4"/>
        <v>0</v>
      </c>
      <c r="R32" s="12">
        <f t="shared" si="5"/>
        <v>0</v>
      </c>
      <c r="S32" s="11">
        <f t="shared" si="6"/>
        <v>0</v>
      </c>
      <c r="T32" s="11">
        <f t="shared" si="7"/>
        <v>0</v>
      </c>
      <c r="U32" s="6">
        <f t="shared" si="18"/>
        <v>0</v>
      </c>
      <c r="V32" s="38">
        <f t="shared" si="8"/>
        <v>0</v>
      </c>
      <c r="W32" s="6">
        <f t="shared" si="9"/>
        <v>0</v>
      </c>
      <c r="X32" s="10">
        <f t="shared" si="10"/>
        <v>0</v>
      </c>
      <c r="Y32" s="6">
        <f t="shared" si="11"/>
        <v>0</v>
      </c>
      <c r="Z32" s="6">
        <f t="shared" si="19"/>
        <v>5</v>
      </c>
      <c r="AA32" s="6">
        <f t="shared" si="20"/>
        <v>0</v>
      </c>
      <c r="AC32" s="6" cm="1">
        <f t="array" ref="AC32">IFERROR(_xlfn.IFS(D32&lt;7,$AC$10*8, D32&gt;=7, $AC$10*12),"")</f>
        <v>4</v>
      </c>
      <c r="AD32" s="6">
        <f t="shared" si="21"/>
        <v>0</v>
      </c>
      <c r="AE32" s="3">
        <f t="shared" si="12"/>
        <v>0</v>
      </c>
      <c r="AF32" s="44">
        <f t="shared" si="13"/>
        <v>0</v>
      </c>
      <c r="AG32" s="44">
        <f t="shared" si="14"/>
        <v>0</v>
      </c>
      <c r="AH32" s="3">
        <f t="shared" si="15"/>
        <v>0</v>
      </c>
      <c r="AI32" s="3">
        <f t="shared" si="16"/>
        <v>0</v>
      </c>
      <c r="AJ32" s="3">
        <f>IFERROR(VLOOKUP(G32,'Official Only'!$D$3:$K$23,8,0)*B32,0)</f>
        <v>0</v>
      </c>
      <c r="AK32" s="3">
        <f>IFERROR(VLOOKUP(G32,'Official Only'!$D$3:$K$23,7,0)*B32,0)</f>
        <v>0</v>
      </c>
    </row>
    <row r="33" spans="1:37" ht="19" customHeight="1" x14ac:dyDescent="0.2">
      <c r="A33" s="14">
        <v>21</v>
      </c>
      <c r="B33" s="33"/>
      <c r="C33" s="15"/>
      <c r="D33" s="16"/>
      <c r="E33" s="16"/>
      <c r="F33" s="67"/>
      <c r="G33" s="101"/>
      <c r="H33" s="102">
        <f>IFERROR(VLOOKUP(G33,'Official Only'!$D$3:$K$23,8,0),0)</f>
        <v>0</v>
      </c>
      <c r="I33" s="92"/>
      <c r="J33" s="85">
        <f t="shared" si="0"/>
        <v>0</v>
      </c>
      <c r="K33" s="46">
        <f t="shared" si="1"/>
        <v>0</v>
      </c>
      <c r="L33" s="3"/>
      <c r="M33" s="3">
        <f t="shared" si="17"/>
        <v>1.5</v>
      </c>
      <c r="O33" s="11">
        <f t="shared" si="2"/>
        <v>0</v>
      </c>
      <c r="P33" s="11">
        <f t="shared" si="3"/>
        <v>0</v>
      </c>
      <c r="Q33" s="12">
        <f t="shared" si="4"/>
        <v>0</v>
      </c>
      <c r="R33" s="12">
        <f t="shared" si="5"/>
        <v>0</v>
      </c>
      <c r="S33" s="11">
        <f t="shared" si="6"/>
        <v>0</v>
      </c>
      <c r="T33" s="11">
        <f t="shared" si="7"/>
        <v>0</v>
      </c>
      <c r="U33" s="6">
        <f t="shared" si="18"/>
        <v>0</v>
      </c>
      <c r="V33" s="38">
        <f t="shared" si="8"/>
        <v>0</v>
      </c>
      <c r="W33" s="6">
        <f t="shared" si="9"/>
        <v>0</v>
      </c>
      <c r="X33" s="10">
        <f t="shared" si="10"/>
        <v>0</v>
      </c>
      <c r="Y33" s="6">
        <f t="shared" si="11"/>
        <v>0</v>
      </c>
      <c r="Z33" s="6">
        <f t="shared" si="19"/>
        <v>5</v>
      </c>
      <c r="AA33" s="6">
        <f t="shared" si="20"/>
        <v>0</v>
      </c>
      <c r="AC33" s="6" cm="1">
        <f t="array" ref="AC33">IFERROR(_xlfn.IFS(D33&lt;7,$AC$10*8, D33&gt;=7, $AC$10*12),"")</f>
        <v>4</v>
      </c>
      <c r="AD33" s="6">
        <f t="shared" si="21"/>
        <v>0</v>
      </c>
      <c r="AE33" s="3">
        <f t="shared" si="12"/>
        <v>0</v>
      </c>
      <c r="AF33" s="44">
        <f t="shared" si="13"/>
        <v>0</v>
      </c>
      <c r="AG33" s="44">
        <f t="shared" si="14"/>
        <v>0</v>
      </c>
      <c r="AH33" s="3">
        <f t="shared" si="15"/>
        <v>0</v>
      </c>
      <c r="AI33" s="3">
        <f t="shared" si="16"/>
        <v>0</v>
      </c>
      <c r="AJ33" s="3">
        <f>IFERROR(VLOOKUP(G33,'Official Only'!$D$3:$K$23,8,0)*B33,0)</f>
        <v>0</v>
      </c>
      <c r="AK33" s="3">
        <f>IFERROR(VLOOKUP(G33,'Official Only'!$D$3:$K$23,7,0)*B33,0)</f>
        <v>0</v>
      </c>
    </row>
    <row r="34" spans="1:37" ht="19" customHeight="1" x14ac:dyDescent="0.2">
      <c r="A34" s="14">
        <v>22</v>
      </c>
      <c r="B34" s="33"/>
      <c r="C34" s="15"/>
      <c r="D34" s="16"/>
      <c r="E34" s="16"/>
      <c r="F34" s="67"/>
      <c r="G34" s="101"/>
      <c r="H34" s="102">
        <f>IFERROR(VLOOKUP(G34,'Official Only'!$D$3:$K$23,8,0),0)</f>
        <v>0</v>
      </c>
      <c r="I34" s="92"/>
      <c r="J34" s="85">
        <f t="shared" si="0"/>
        <v>0</v>
      </c>
      <c r="K34" s="46">
        <f t="shared" si="1"/>
        <v>0</v>
      </c>
      <c r="L34" s="3"/>
      <c r="M34" s="3">
        <f t="shared" si="17"/>
        <v>1.5</v>
      </c>
      <c r="O34" s="11">
        <f t="shared" si="2"/>
        <v>0</v>
      </c>
      <c r="P34" s="11">
        <f t="shared" si="3"/>
        <v>0</v>
      </c>
      <c r="Q34" s="12">
        <f t="shared" si="4"/>
        <v>0</v>
      </c>
      <c r="R34" s="12">
        <f t="shared" si="5"/>
        <v>0</v>
      </c>
      <c r="S34" s="11">
        <f t="shared" si="6"/>
        <v>0</v>
      </c>
      <c r="T34" s="11">
        <f t="shared" si="7"/>
        <v>0</v>
      </c>
      <c r="U34" s="6">
        <f t="shared" si="18"/>
        <v>0</v>
      </c>
      <c r="V34" s="38">
        <f t="shared" si="8"/>
        <v>0</v>
      </c>
      <c r="W34" s="6">
        <f t="shared" si="9"/>
        <v>0</v>
      </c>
      <c r="X34" s="10">
        <f t="shared" si="10"/>
        <v>0</v>
      </c>
      <c r="Y34" s="6">
        <f t="shared" si="11"/>
        <v>0</v>
      </c>
      <c r="Z34" s="6">
        <f t="shared" si="19"/>
        <v>5</v>
      </c>
      <c r="AA34" s="6">
        <f t="shared" si="20"/>
        <v>0</v>
      </c>
      <c r="AC34" s="6" cm="1">
        <f t="array" ref="AC34">IFERROR(_xlfn.IFS(D34&lt;7,$AC$10*8, D34&gt;=7, $AC$10*12),"")</f>
        <v>4</v>
      </c>
      <c r="AD34" s="6">
        <f t="shared" si="21"/>
        <v>0</v>
      </c>
      <c r="AE34" s="3">
        <f t="shared" si="12"/>
        <v>0</v>
      </c>
      <c r="AF34" s="44">
        <f t="shared" si="13"/>
        <v>0</v>
      </c>
      <c r="AG34" s="44">
        <f t="shared" si="14"/>
        <v>0</v>
      </c>
      <c r="AH34" s="3">
        <f t="shared" si="15"/>
        <v>0</v>
      </c>
      <c r="AI34" s="3">
        <f t="shared" si="16"/>
        <v>0</v>
      </c>
      <c r="AJ34" s="3">
        <f>IFERROR(VLOOKUP(G34,'Official Only'!$D$3:$K$23,8,0)*B34,0)</f>
        <v>0</v>
      </c>
      <c r="AK34" s="3">
        <f>IFERROR(VLOOKUP(G34,'Official Only'!$D$3:$K$23,7,0)*B34,0)</f>
        <v>0</v>
      </c>
    </row>
    <row r="35" spans="1:37" ht="19" customHeight="1" x14ac:dyDescent="0.2">
      <c r="A35" s="14">
        <v>23</v>
      </c>
      <c r="B35" s="33"/>
      <c r="C35" s="15"/>
      <c r="D35" s="16"/>
      <c r="E35" s="16"/>
      <c r="F35" s="67"/>
      <c r="G35" s="101"/>
      <c r="H35" s="102">
        <f>IFERROR(VLOOKUP(G35,'Official Only'!$D$3:$K$23,8,0),0)</f>
        <v>0</v>
      </c>
      <c r="I35" s="92"/>
      <c r="J35" s="85">
        <f t="shared" si="0"/>
        <v>0</v>
      </c>
      <c r="K35" s="46">
        <f t="shared" si="1"/>
        <v>0</v>
      </c>
      <c r="L35" s="3"/>
      <c r="M35" s="3">
        <f t="shared" si="17"/>
        <v>1.5</v>
      </c>
      <c r="O35" s="11">
        <f t="shared" si="2"/>
        <v>0</v>
      </c>
      <c r="P35" s="11">
        <f t="shared" si="3"/>
        <v>0</v>
      </c>
      <c r="Q35" s="12">
        <f t="shared" si="4"/>
        <v>0</v>
      </c>
      <c r="R35" s="12">
        <f t="shared" si="5"/>
        <v>0</v>
      </c>
      <c r="S35" s="11">
        <f t="shared" si="6"/>
        <v>0</v>
      </c>
      <c r="T35" s="11">
        <f t="shared" si="7"/>
        <v>0</v>
      </c>
      <c r="U35" s="6">
        <f t="shared" si="18"/>
        <v>0</v>
      </c>
      <c r="V35" s="38">
        <f t="shared" si="8"/>
        <v>0</v>
      </c>
      <c r="W35" s="6">
        <f t="shared" si="9"/>
        <v>0</v>
      </c>
      <c r="X35" s="10">
        <f t="shared" si="10"/>
        <v>0</v>
      </c>
      <c r="Y35" s="6">
        <f t="shared" si="11"/>
        <v>0</v>
      </c>
      <c r="Z35" s="6">
        <f t="shared" si="19"/>
        <v>5</v>
      </c>
      <c r="AA35" s="6">
        <f t="shared" si="20"/>
        <v>0</v>
      </c>
      <c r="AC35" s="6" cm="1">
        <f t="array" ref="AC35">IFERROR(_xlfn.IFS(D35&lt;7,$AC$10*8, D35&gt;=7, $AC$10*12),"")</f>
        <v>4</v>
      </c>
      <c r="AD35" s="6">
        <f t="shared" si="21"/>
        <v>0</v>
      </c>
      <c r="AE35" s="3">
        <f t="shared" si="12"/>
        <v>0</v>
      </c>
      <c r="AF35" s="44">
        <f t="shared" si="13"/>
        <v>0</v>
      </c>
      <c r="AG35" s="44">
        <f t="shared" si="14"/>
        <v>0</v>
      </c>
      <c r="AH35" s="3">
        <f t="shared" si="15"/>
        <v>0</v>
      </c>
      <c r="AI35" s="3">
        <f t="shared" si="16"/>
        <v>0</v>
      </c>
      <c r="AJ35" s="3">
        <f>IFERROR(VLOOKUP(G35,'Official Only'!$D$3:$K$23,8,0)*B35,0)</f>
        <v>0</v>
      </c>
      <c r="AK35" s="3">
        <f>IFERROR(VLOOKUP(G35,'Official Only'!$D$3:$K$23,7,0)*B35,0)</f>
        <v>0</v>
      </c>
    </row>
    <row r="36" spans="1:37" ht="19" customHeight="1" x14ac:dyDescent="0.2">
      <c r="A36" s="14">
        <v>24</v>
      </c>
      <c r="B36" s="33"/>
      <c r="C36" s="15"/>
      <c r="D36" s="16"/>
      <c r="E36" s="16"/>
      <c r="F36" s="67"/>
      <c r="G36" s="101"/>
      <c r="H36" s="102">
        <f>IFERROR(VLOOKUP(G36,'Official Only'!$D$3:$K$23,8,0),0)</f>
        <v>0</v>
      </c>
      <c r="I36" s="92"/>
      <c r="J36" s="85">
        <f t="shared" si="0"/>
        <v>0</v>
      </c>
      <c r="K36" s="46">
        <f t="shared" si="1"/>
        <v>0</v>
      </c>
      <c r="L36" s="3"/>
      <c r="M36" s="3">
        <f t="shared" si="17"/>
        <v>1.5</v>
      </c>
      <c r="O36" s="11">
        <f t="shared" si="2"/>
        <v>0</v>
      </c>
      <c r="P36" s="11">
        <f t="shared" si="3"/>
        <v>0</v>
      </c>
      <c r="Q36" s="12">
        <f t="shared" si="4"/>
        <v>0</v>
      </c>
      <c r="R36" s="12">
        <f t="shared" si="5"/>
        <v>0</v>
      </c>
      <c r="S36" s="11">
        <f t="shared" si="6"/>
        <v>0</v>
      </c>
      <c r="T36" s="11">
        <f t="shared" si="7"/>
        <v>0</v>
      </c>
      <c r="U36" s="6">
        <f t="shared" si="18"/>
        <v>0</v>
      </c>
      <c r="V36" s="38">
        <f t="shared" si="8"/>
        <v>0</v>
      </c>
      <c r="W36" s="6">
        <f t="shared" si="9"/>
        <v>0</v>
      </c>
      <c r="X36" s="10">
        <f t="shared" si="10"/>
        <v>0</v>
      </c>
      <c r="Y36" s="6">
        <f t="shared" si="11"/>
        <v>0</v>
      </c>
      <c r="Z36" s="6">
        <f t="shared" si="19"/>
        <v>5</v>
      </c>
      <c r="AA36" s="6">
        <f t="shared" si="20"/>
        <v>0</v>
      </c>
      <c r="AC36" s="6" cm="1">
        <f t="array" ref="AC36">IFERROR(_xlfn.IFS(D36&lt;7,$AC$10*8, D36&gt;=7, $AC$10*12),"")</f>
        <v>4</v>
      </c>
      <c r="AD36" s="6">
        <f t="shared" si="21"/>
        <v>0</v>
      </c>
      <c r="AE36" s="3">
        <f t="shared" si="12"/>
        <v>0</v>
      </c>
      <c r="AF36" s="44">
        <f t="shared" si="13"/>
        <v>0</v>
      </c>
      <c r="AG36" s="44">
        <f t="shared" si="14"/>
        <v>0</v>
      </c>
      <c r="AH36" s="3">
        <f t="shared" si="15"/>
        <v>0</v>
      </c>
      <c r="AI36" s="3">
        <f t="shared" si="16"/>
        <v>0</v>
      </c>
      <c r="AJ36" s="3">
        <f>IFERROR(VLOOKUP(G36,'Official Only'!$D$3:$K$23,8,0)*B36,0)</f>
        <v>0</v>
      </c>
      <c r="AK36" s="3">
        <f>IFERROR(VLOOKUP(G36,'Official Only'!$D$3:$K$23,7,0)*B36,0)</f>
        <v>0</v>
      </c>
    </row>
    <row r="37" spans="1:37" ht="19" customHeight="1" thickBot="1" x14ac:dyDescent="0.25">
      <c r="A37" s="13">
        <v>25</v>
      </c>
      <c r="B37" s="53"/>
      <c r="C37" s="54"/>
      <c r="D37" s="55"/>
      <c r="E37" s="55"/>
      <c r="F37" s="68"/>
      <c r="G37" s="103"/>
      <c r="H37" s="104">
        <f>IFERROR(VLOOKUP(G37,'Official Only'!$D$3:$K$23,8,0),0)</f>
        <v>0</v>
      </c>
      <c r="I37" s="93"/>
      <c r="J37" s="86">
        <f t="shared" si="0"/>
        <v>0</v>
      </c>
      <c r="K37" s="47">
        <f t="shared" si="1"/>
        <v>0</v>
      </c>
      <c r="L37" s="3"/>
      <c r="M37" s="3">
        <f t="shared" si="17"/>
        <v>1.5</v>
      </c>
      <c r="O37" s="11">
        <f t="shared" si="2"/>
        <v>0</v>
      </c>
      <c r="P37" s="11">
        <f t="shared" si="3"/>
        <v>0</v>
      </c>
      <c r="Q37" s="12">
        <f t="shared" si="4"/>
        <v>0</v>
      </c>
      <c r="R37" s="12">
        <f t="shared" si="5"/>
        <v>0</v>
      </c>
      <c r="S37" s="11">
        <f t="shared" si="6"/>
        <v>0</v>
      </c>
      <c r="T37" s="11">
        <f t="shared" si="7"/>
        <v>0</v>
      </c>
      <c r="U37" s="6">
        <f t="shared" si="18"/>
        <v>0</v>
      </c>
      <c r="V37" s="38">
        <f t="shared" si="8"/>
        <v>0</v>
      </c>
      <c r="W37" s="6">
        <f t="shared" si="9"/>
        <v>0</v>
      </c>
      <c r="X37" s="10">
        <f t="shared" si="10"/>
        <v>0</v>
      </c>
      <c r="Y37" s="6">
        <f t="shared" si="11"/>
        <v>0</v>
      </c>
      <c r="Z37" s="6">
        <f t="shared" si="19"/>
        <v>5</v>
      </c>
      <c r="AA37" s="6">
        <f t="shared" si="20"/>
        <v>0</v>
      </c>
      <c r="AC37" s="6" cm="1">
        <f t="array" ref="AC37">IFERROR(_xlfn.IFS(D37&lt;7,$AC$10*8, D37&gt;=7, $AC$10*12),"")</f>
        <v>4</v>
      </c>
      <c r="AD37" s="6">
        <f t="shared" si="21"/>
        <v>0</v>
      </c>
      <c r="AE37" s="3">
        <f t="shared" si="12"/>
        <v>0</v>
      </c>
      <c r="AF37" s="44">
        <f t="shared" si="13"/>
        <v>0</v>
      </c>
      <c r="AG37" s="44">
        <f t="shared" si="14"/>
        <v>0</v>
      </c>
      <c r="AH37" s="3">
        <f t="shared" si="15"/>
        <v>0</v>
      </c>
      <c r="AI37" s="3">
        <f t="shared" si="16"/>
        <v>0</v>
      </c>
      <c r="AJ37" s="3">
        <f>IFERROR(VLOOKUP(G37,'Official Only'!$D$3:$K$23,8,0)*B37,0)</f>
        <v>0</v>
      </c>
      <c r="AK37" s="3">
        <f>IFERROR(VLOOKUP(G37,'Official Only'!$D$3:$K$23,7,0)*B37,0)</f>
        <v>0</v>
      </c>
    </row>
    <row r="38" spans="1:37" ht="16" thickBot="1" x14ac:dyDescent="0.25">
      <c r="J38" s="30" t="s">
        <v>59</v>
      </c>
      <c r="K38" s="45">
        <f>SUM(K13:K37)</f>
        <v>0</v>
      </c>
      <c r="U38" s="8" t="s">
        <v>6</v>
      </c>
      <c r="V38" s="39">
        <f>SUM(V13:V37)</f>
        <v>0</v>
      </c>
      <c r="W38" s="8" t="s">
        <v>5</v>
      </c>
      <c r="X38" s="7">
        <f>SUM(X13:X37)</f>
        <v>0</v>
      </c>
      <c r="Y38" s="41"/>
      <c r="Z38" s="6"/>
      <c r="AA38" s="6"/>
      <c r="AC38" s="6"/>
      <c r="AG38" s="44">
        <f>SUM(AG13:AG37)</f>
        <v>0</v>
      </c>
      <c r="AH38" s="3"/>
      <c r="AI38" s="44">
        <f>SUM(AI13:AI37)</f>
        <v>0</v>
      </c>
      <c r="AJ38" s="44">
        <f>SUM(AJ13:AJ37)</f>
        <v>0</v>
      </c>
      <c r="AK38" s="44">
        <f>SUM(AK13:AK37)</f>
        <v>0</v>
      </c>
    </row>
    <row r="39" spans="1:37" x14ac:dyDescent="0.2">
      <c r="J39" s="30" t="s">
        <v>64</v>
      </c>
      <c r="K39" s="95">
        <f>IF(AND(C8="assembled",F13&lt;&gt;0),SUM(B13:B37)*5,0)</f>
        <v>0</v>
      </c>
      <c r="U39" s="1" t="s">
        <v>3</v>
      </c>
      <c r="V39" s="35">
        <f>ROUNDUP(V38/300,0)</f>
        <v>0</v>
      </c>
      <c r="W39" s="1" t="s">
        <v>2</v>
      </c>
      <c r="X39" s="1">
        <f>ROUNDUP(X38/(4*8*0.9),0)</f>
        <v>0</v>
      </c>
    </row>
    <row r="40" spans="1:37" ht="16" thickBot="1" x14ac:dyDescent="0.25">
      <c r="J40" s="5" t="s">
        <v>4</v>
      </c>
      <c r="K40" s="95">
        <f>IF(AND(B13&lt;&gt;0,C13&lt;&gt;0,D13&lt;&gt;0,E13&lt;&gt;0),IF(AND(X38&lt;&gt;0,X38&lt;32),150,0),0)</f>
        <v>0</v>
      </c>
      <c r="L40" s="3"/>
    </row>
    <row r="41" spans="1:37" x14ac:dyDescent="0.2">
      <c r="F41" s="56"/>
      <c r="G41" s="56"/>
      <c r="H41" s="56"/>
      <c r="J41" s="5" t="s">
        <v>1</v>
      </c>
      <c r="K41" s="95">
        <f>IF(K38&gt;0, 18,0)</f>
        <v>0</v>
      </c>
      <c r="L41" s="3"/>
      <c r="N41" s="77"/>
      <c r="O41" s="78" t="s">
        <v>109</v>
      </c>
      <c r="P41" s="79" t="s">
        <v>72</v>
      </c>
    </row>
    <row r="42" spans="1:37" ht="16" thickBot="1" x14ac:dyDescent="0.25">
      <c r="J42" s="4" t="s">
        <v>60</v>
      </c>
      <c r="K42" s="96">
        <f>SUM(K38:K41)</f>
        <v>0</v>
      </c>
      <c r="N42" s="80" t="s">
        <v>59</v>
      </c>
      <c r="O42" s="3">
        <f>K38*0.75</f>
        <v>0</v>
      </c>
      <c r="P42" s="81"/>
    </row>
    <row r="43" spans="1:37" ht="16" thickBot="1" x14ac:dyDescent="0.25">
      <c r="J43" s="65"/>
      <c r="K43" s="74"/>
      <c r="N43" s="80" t="s">
        <v>64</v>
      </c>
      <c r="O43" s="3">
        <f>K39</f>
        <v>0</v>
      </c>
      <c r="P43" s="81"/>
    </row>
    <row r="44" spans="1:37" ht="16" thickBot="1" x14ac:dyDescent="0.25">
      <c r="F44" s="31"/>
      <c r="G44" s="31"/>
      <c r="H44" s="31"/>
      <c r="I44" s="121" t="s">
        <v>115</v>
      </c>
      <c r="J44" s="122"/>
      <c r="K44" s="97">
        <f>AJ38</f>
        <v>0</v>
      </c>
      <c r="L44" s="3"/>
      <c r="N44" s="80" t="s">
        <v>4</v>
      </c>
      <c r="O44" s="3">
        <f>K40</f>
        <v>0</v>
      </c>
      <c r="P44" s="81"/>
    </row>
    <row r="45" spans="1:37" x14ac:dyDescent="0.2">
      <c r="J45" s="65"/>
      <c r="K45" s="74"/>
      <c r="L45" s="3"/>
      <c r="N45" s="80" t="s">
        <v>1</v>
      </c>
      <c r="O45" s="3">
        <f>K41</f>
        <v>0</v>
      </c>
      <c r="P45" s="81"/>
    </row>
    <row r="46" spans="1:37" ht="16" thickBot="1" x14ac:dyDescent="0.25">
      <c r="I46" s="31" t="s">
        <v>36</v>
      </c>
      <c r="L46" s="3"/>
      <c r="N46" s="80" t="s">
        <v>110</v>
      </c>
      <c r="O46" s="3">
        <f>K44</f>
        <v>0</v>
      </c>
      <c r="P46" s="81">
        <f>AK38</f>
        <v>0</v>
      </c>
    </row>
    <row r="47" spans="1:37" x14ac:dyDescent="0.2">
      <c r="I47" s="69" t="s">
        <v>37</v>
      </c>
      <c r="J47" s="70">
        <f>X39</f>
        <v>0</v>
      </c>
      <c r="K47" s="98">
        <f>IFERROR(VLOOKUP(F13,$AL$10:$AM$25,2,0)*J47,0)</f>
        <v>0</v>
      </c>
      <c r="N47" s="80" t="s">
        <v>111</v>
      </c>
      <c r="O47" s="3">
        <f>K47</f>
        <v>0</v>
      </c>
      <c r="P47" s="81">
        <f>IFERROR(VLOOKUP(F13,$AL$10:$AO$25,4,0)*J47,0)</f>
        <v>0</v>
      </c>
    </row>
    <row r="48" spans="1:37" ht="16" thickBot="1" x14ac:dyDescent="0.25">
      <c r="I48" s="71" t="s">
        <v>52</v>
      </c>
      <c r="J48" s="72">
        <f>V39</f>
        <v>0</v>
      </c>
      <c r="K48" s="96">
        <f>IFERROR(VLOOKUP(F13,$AL$11:$AN$25,3,0)*J48,0)</f>
        <v>0</v>
      </c>
      <c r="N48" s="80" t="s">
        <v>112</v>
      </c>
      <c r="O48" s="3">
        <f>K48</f>
        <v>0</v>
      </c>
      <c r="P48" s="81">
        <f>IF(K48=0,K48,84.66*J48)</f>
        <v>0</v>
      </c>
    </row>
    <row r="49" spans="9:16" ht="20" thickBot="1" x14ac:dyDescent="0.25">
      <c r="I49" s="105" t="s">
        <v>108</v>
      </c>
      <c r="J49" s="106"/>
      <c r="K49" s="73">
        <f>K48+K47+K42+K44</f>
        <v>0</v>
      </c>
      <c r="N49" s="8"/>
      <c r="O49" s="82">
        <f>SUM(O42:O48)</f>
        <v>0</v>
      </c>
      <c r="P49" s="83">
        <f>SUM(P42:P48)</f>
        <v>0</v>
      </c>
    </row>
  </sheetData>
  <sheetProtection algorithmName="SHA-512" hashValue="WwaplB/bEkDFL65x4GqV594FhPU6EZ4jtVYkLkIkhxxqNgV3A01TbylwXSqYWM2QPUx77MQ/p7ljxUMcuqHIVA==" saltValue="78CboS0I7g7Ahz+o9cbWhw==" spinCount="100000" sheet="1" selectLockedCells="1"/>
  <dataConsolidate/>
  <mergeCells count="10">
    <mergeCell ref="I49:J49"/>
    <mergeCell ref="K11:K12"/>
    <mergeCell ref="A11:A12"/>
    <mergeCell ref="B11:B12"/>
    <mergeCell ref="F11:F12"/>
    <mergeCell ref="J11:J12"/>
    <mergeCell ref="I11:I12"/>
    <mergeCell ref="G11:G12"/>
    <mergeCell ref="I44:J44"/>
    <mergeCell ref="H11:H12"/>
  </mergeCells>
  <dataValidations count="6">
    <dataValidation type="list" allowBlank="1" showInputMessage="1" showErrorMessage="1" sqref="F13:F37" xr:uid="{A69A420A-8CEA-414E-BE39-215AF652AA21}">
      <formula1>color</formula1>
    </dataValidation>
    <dataValidation type="list" allowBlank="1" showInputMessage="1" showErrorMessage="1" sqref="C21:C37" xr:uid="{622E9DC8-E12F-AF43-8A4C-FF3E90961187}">
      <formula1>"21, 18,15,12"</formula1>
    </dataValidation>
    <dataValidation type="list" allowBlank="1" showInputMessage="1" showErrorMessage="1" sqref="C8" xr:uid="{AB717E0C-44D7-2249-87CD-715FE9D47383}">
      <formula1>"assembled, No (flat package)"</formula1>
    </dataValidation>
    <dataValidation type="decimal" allowBlank="1" showInputMessage="1" showErrorMessage="1" prompt="Height needs to be between 3~15" sqref="D13:D37" xr:uid="{88909C64-86BD-A74D-B7E4-C70200408DE8}">
      <formula1>3</formula1>
      <formula2>15</formula2>
    </dataValidation>
    <dataValidation type="decimal" allowBlank="1" showInputMessage="1" showErrorMessage="1" prompt="Width needs to be between 8~46 1/2" sqref="E13:E37" xr:uid="{D79199E3-BCC0-6448-9559-1058D479C511}">
      <formula1>8</formula1>
      <formula2>46.5</formula2>
    </dataValidation>
    <dataValidation type="list" allowBlank="1" showInputMessage="1" showErrorMessage="1" sqref="C13:C20" xr:uid="{00461C7B-49A9-A34A-B4D9-ACAFBE60A104}">
      <formula1>"12,15,18,21,24,27,30"</formula1>
    </dataValidation>
  </dataValidations>
  <pageMargins left="0.7" right="0.7" top="0.75" bottom="0.75" header="0.3" footer="0.3"/>
  <pageSetup scale="84" orientation="landscape" horizontalDpi="0" verticalDpi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5EA4BB-5A8D-894C-A0EE-8C47014DCA19}">
          <x14:formula1>
            <xm:f>'Official Only'!$D$3:$D$23</xm:f>
          </x14:formula1>
          <xm:sqref>G13:G37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D72B8-DD08-304D-AD67-8CFFDADD7AEE}">
  <dimension ref="A2:K37"/>
  <sheetViews>
    <sheetView workbookViewId="0">
      <pane ySplit="2" topLeftCell="A38" activePane="bottomLeft" state="frozen"/>
      <selection pane="bottomLeft" activeCell="A63" sqref="A63"/>
    </sheetView>
  </sheetViews>
  <sheetFormatPr baseColWidth="10" defaultColWidth="14.5" defaultRowHeight="16" x14ac:dyDescent="0.2"/>
  <cols>
    <col min="1" max="1" width="14.5" style="59"/>
    <col min="2" max="2" width="18.1640625" style="59" customWidth="1"/>
    <col min="3" max="3" width="16.5" style="59" customWidth="1"/>
    <col min="4" max="4" width="24" style="59" customWidth="1"/>
    <col min="5" max="5" width="20.33203125" style="60" customWidth="1"/>
    <col min="6" max="6" width="18" style="59" customWidth="1"/>
    <col min="7" max="7" width="18.83203125" style="59" customWidth="1"/>
    <col min="8" max="8" width="18.83203125" style="60" customWidth="1"/>
    <col min="9" max="10" width="18.83203125" style="59" customWidth="1"/>
    <col min="11" max="11" width="20.6640625" style="59" customWidth="1"/>
    <col min="12" max="16384" width="14.5" style="59"/>
  </cols>
  <sheetData>
    <row r="2" spans="1:11" hidden="1" x14ac:dyDescent="0.2">
      <c r="A2" s="62" t="s">
        <v>69</v>
      </c>
      <c r="B2" s="62" t="s">
        <v>70</v>
      </c>
      <c r="C2" s="62" t="s">
        <v>71</v>
      </c>
      <c r="D2" s="62" t="s">
        <v>107</v>
      </c>
      <c r="E2" s="63" t="s">
        <v>72</v>
      </c>
      <c r="F2" s="59" t="s">
        <v>73</v>
      </c>
      <c r="G2" s="59" t="s">
        <v>74</v>
      </c>
      <c r="H2" s="60" t="s">
        <v>72</v>
      </c>
      <c r="I2" s="59" t="s">
        <v>73</v>
      </c>
      <c r="J2" s="59" t="s">
        <v>75</v>
      </c>
      <c r="K2" s="59" t="s">
        <v>76</v>
      </c>
    </row>
    <row r="3" spans="1:11" hidden="1" x14ac:dyDescent="0.2">
      <c r="A3" s="62">
        <v>12</v>
      </c>
      <c r="B3" s="62" t="s">
        <v>77</v>
      </c>
      <c r="C3" s="62" t="s">
        <v>81</v>
      </c>
      <c r="D3" s="62" t="str">
        <f>CONCATENATE(B3," ",A3,"""")</f>
        <v>Blum Tandem 12"</v>
      </c>
      <c r="E3" s="64">
        <v>17.059000000000001</v>
      </c>
      <c r="F3" s="75">
        <v>18.831</v>
      </c>
      <c r="G3" s="59" t="s">
        <v>82</v>
      </c>
      <c r="H3" s="60">
        <f>0.597*2</f>
        <v>1.194</v>
      </c>
      <c r="I3" s="76">
        <v>1.32</v>
      </c>
      <c r="J3" s="61">
        <f>IF(AND(E3 &lt;&gt;0,H3&lt;&gt;0), E3+H3,0)</f>
        <v>18.253</v>
      </c>
      <c r="K3" s="61">
        <f>IF(AND(F3 &lt;&gt;0,I3&lt;&gt;0), F3+I3,0)</f>
        <v>20.151</v>
      </c>
    </row>
    <row r="4" spans="1:11" hidden="1" x14ac:dyDescent="0.2">
      <c r="A4" s="62">
        <v>15</v>
      </c>
      <c r="B4" s="62" t="s">
        <v>77</v>
      </c>
      <c r="C4" s="62" t="s">
        <v>80</v>
      </c>
      <c r="D4" s="62" t="str">
        <f t="shared" ref="D4:D23" si="0">CONCATENATE(B4," ",A4,"""")</f>
        <v>Blum Tandem 15"</v>
      </c>
      <c r="E4" s="64">
        <v>17.059000000000001</v>
      </c>
      <c r="F4" s="75">
        <v>18.831</v>
      </c>
      <c r="G4" s="59" t="s">
        <v>82</v>
      </c>
      <c r="H4" s="60">
        <f t="shared" ref="H4:H6" si="1">0.597*2</f>
        <v>1.194</v>
      </c>
      <c r="I4" s="76">
        <v>1.32</v>
      </c>
      <c r="J4" s="61">
        <f t="shared" ref="J4:J18" si="2">IF(AND(E4 &lt;&gt;0,H4&lt;&gt;0), E4+H4,0)</f>
        <v>18.253</v>
      </c>
      <c r="K4" s="61">
        <f t="shared" ref="K4:K23" si="3">IF(AND(F4 &lt;&gt;0,I4&lt;&gt;0), F4+I4,0)</f>
        <v>20.151</v>
      </c>
    </row>
    <row r="5" spans="1:11" hidden="1" x14ac:dyDescent="0.2">
      <c r="A5" s="62">
        <v>18</v>
      </c>
      <c r="B5" s="62" t="s">
        <v>77</v>
      </c>
      <c r="C5" s="62" t="s">
        <v>79</v>
      </c>
      <c r="D5" s="62" t="str">
        <f t="shared" si="0"/>
        <v>Blum Tandem 18"</v>
      </c>
      <c r="E5" s="64">
        <v>15.18</v>
      </c>
      <c r="F5" s="75">
        <v>16.753</v>
      </c>
      <c r="G5" s="59" t="s">
        <v>82</v>
      </c>
      <c r="H5" s="60">
        <f t="shared" si="1"/>
        <v>1.194</v>
      </c>
      <c r="I5" s="76">
        <v>1.32</v>
      </c>
      <c r="J5" s="61">
        <f t="shared" si="2"/>
        <v>16.373999999999999</v>
      </c>
      <c r="K5" s="61">
        <f t="shared" si="3"/>
        <v>18.073</v>
      </c>
    </row>
    <row r="6" spans="1:11" hidden="1" x14ac:dyDescent="0.2">
      <c r="A6" s="62">
        <v>21</v>
      </c>
      <c r="B6" s="62" t="s">
        <v>77</v>
      </c>
      <c r="C6" s="62" t="s">
        <v>78</v>
      </c>
      <c r="D6" s="62" t="str">
        <f t="shared" si="0"/>
        <v>Blum Tandem 21"</v>
      </c>
      <c r="E6" s="64">
        <v>15.66</v>
      </c>
      <c r="F6" s="75">
        <v>17.286000000000001</v>
      </c>
      <c r="G6" s="59" t="s">
        <v>82</v>
      </c>
      <c r="H6" s="60">
        <f t="shared" si="1"/>
        <v>1.194</v>
      </c>
      <c r="I6" s="76">
        <v>1.32</v>
      </c>
      <c r="J6" s="61">
        <f t="shared" si="2"/>
        <v>16.853999999999999</v>
      </c>
      <c r="K6" s="61">
        <f t="shared" si="3"/>
        <v>18.606000000000002</v>
      </c>
    </row>
    <row r="7" spans="1:11" hidden="1" x14ac:dyDescent="0.2">
      <c r="A7" s="62">
        <v>12</v>
      </c>
      <c r="B7" s="62" t="s">
        <v>83</v>
      </c>
      <c r="C7" s="62" t="s">
        <v>87</v>
      </c>
      <c r="D7" s="62" t="str">
        <f t="shared" si="0"/>
        <v>Blum Movento 12"</v>
      </c>
      <c r="E7" s="64">
        <v>22.15</v>
      </c>
      <c r="F7" s="75">
        <v>24.507000000000001</v>
      </c>
      <c r="G7" s="59" t="s">
        <v>91</v>
      </c>
      <c r="H7" s="60">
        <f>1.8*2</f>
        <v>3.6</v>
      </c>
      <c r="I7" s="76">
        <v>4</v>
      </c>
      <c r="J7" s="61">
        <f t="shared" si="2"/>
        <v>25.75</v>
      </c>
      <c r="K7" s="61">
        <f t="shared" si="3"/>
        <v>28.507000000000001</v>
      </c>
    </row>
    <row r="8" spans="1:11" hidden="1" x14ac:dyDescent="0.2">
      <c r="A8" s="62">
        <v>15</v>
      </c>
      <c r="B8" s="62" t="s">
        <v>83</v>
      </c>
      <c r="C8" s="62" t="s">
        <v>88</v>
      </c>
      <c r="D8" s="62" t="str">
        <f t="shared" si="0"/>
        <v>Blum Movento 15"</v>
      </c>
      <c r="E8" s="64">
        <v>22.15</v>
      </c>
      <c r="F8" s="75">
        <v>24.507000000000001</v>
      </c>
      <c r="G8" s="59" t="s">
        <v>91</v>
      </c>
      <c r="H8" s="60">
        <f t="shared" ref="H8:H13" si="4">1.8*2</f>
        <v>3.6</v>
      </c>
      <c r="I8" s="76">
        <v>4</v>
      </c>
      <c r="J8" s="61">
        <f t="shared" si="2"/>
        <v>25.75</v>
      </c>
      <c r="K8" s="61">
        <f t="shared" si="3"/>
        <v>28.507000000000001</v>
      </c>
    </row>
    <row r="9" spans="1:11" hidden="1" x14ac:dyDescent="0.2">
      <c r="A9" s="62">
        <v>18</v>
      </c>
      <c r="B9" s="62" t="s">
        <v>83</v>
      </c>
      <c r="C9" s="62" t="s">
        <v>89</v>
      </c>
      <c r="D9" s="62" t="str">
        <f t="shared" si="0"/>
        <v>Blum Movento 18"</v>
      </c>
      <c r="E9" s="64">
        <v>22.15</v>
      </c>
      <c r="F9" s="75">
        <v>24.507000000000001</v>
      </c>
      <c r="G9" s="59" t="s">
        <v>91</v>
      </c>
      <c r="H9" s="60">
        <f t="shared" si="4"/>
        <v>3.6</v>
      </c>
      <c r="I9" s="76">
        <v>4</v>
      </c>
      <c r="J9" s="61">
        <f t="shared" si="2"/>
        <v>25.75</v>
      </c>
      <c r="K9" s="61">
        <f t="shared" si="3"/>
        <v>28.507000000000001</v>
      </c>
    </row>
    <row r="10" spans="1:11" hidden="1" x14ac:dyDescent="0.2">
      <c r="A10" s="62">
        <v>21</v>
      </c>
      <c r="B10" s="62" t="s">
        <v>83</v>
      </c>
      <c r="C10" s="62" t="s">
        <v>90</v>
      </c>
      <c r="D10" s="62" t="str">
        <f t="shared" si="0"/>
        <v>Blum Movento 21"</v>
      </c>
      <c r="E10" s="64">
        <v>22.38</v>
      </c>
      <c r="F10" s="75">
        <v>24.773</v>
      </c>
      <c r="G10" s="59" t="s">
        <v>91</v>
      </c>
      <c r="H10" s="60">
        <f t="shared" si="4"/>
        <v>3.6</v>
      </c>
      <c r="I10" s="76">
        <v>4</v>
      </c>
      <c r="J10" s="61">
        <f t="shared" si="2"/>
        <v>25.98</v>
      </c>
      <c r="K10" s="61">
        <f t="shared" si="3"/>
        <v>28.773</v>
      </c>
    </row>
    <row r="11" spans="1:11" hidden="1" x14ac:dyDescent="0.2">
      <c r="A11" s="62">
        <v>24</v>
      </c>
      <c r="B11" s="62" t="s">
        <v>83</v>
      </c>
      <c r="C11" s="62" t="s">
        <v>86</v>
      </c>
      <c r="D11" s="62" t="str">
        <f t="shared" si="0"/>
        <v>Blum Movento 24"</v>
      </c>
      <c r="E11" s="64">
        <v>32.904000000000003</v>
      </c>
      <c r="F11" s="75">
        <v>36.412999999999997</v>
      </c>
      <c r="G11" s="59" t="s">
        <v>91</v>
      </c>
      <c r="H11" s="60">
        <f t="shared" si="4"/>
        <v>3.6</v>
      </c>
      <c r="I11" s="76">
        <v>4</v>
      </c>
      <c r="J11" s="61">
        <f t="shared" si="2"/>
        <v>36.504000000000005</v>
      </c>
      <c r="K11" s="61">
        <f t="shared" si="3"/>
        <v>40.412999999999997</v>
      </c>
    </row>
    <row r="12" spans="1:11" hidden="1" x14ac:dyDescent="0.2">
      <c r="A12" s="62">
        <v>27</v>
      </c>
      <c r="B12" s="62" t="s">
        <v>83</v>
      </c>
      <c r="C12" s="62" t="s">
        <v>85</v>
      </c>
      <c r="D12" s="62" t="str">
        <f t="shared" si="0"/>
        <v>Blum Movento 27"</v>
      </c>
      <c r="E12" s="64">
        <v>34.313000000000002</v>
      </c>
      <c r="F12" s="75">
        <v>37.972999999999999</v>
      </c>
      <c r="G12" s="59" t="s">
        <v>91</v>
      </c>
      <c r="H12" s="60">
        <f t="shared" si="4"/>
        <v>3.6</v>
      </c>
      <c r="I12" s="76">
        <v>4</v>
      </c>
      <c r="J12" s="61">
        <f t="shared" si="2"/>
        <v>37.913000000000004</v>
      </c>
      <c r="K12" s="61">
        <f t="shared" si="3"/>
        <v>41.972999999999999</v>
      </c>
    </row>
    <row r="13" spans="1:11" hidden="1" x14ac:dyDescent="0.2">
      <c r="A13" s="62">
        <v>30</v>
      </c>
      <c r="B13" s="62" t="s">
        <v>83</v>
      </c>
      <c r="C13" s="62" t="s">
        <v>84</v>
      </c>
      <c r="D13" s="62" t="str">
        <f t="shared" si="0"/>
        <v>Blum Movento 30"</v>
      </c>
      <c r="E13" s="64">
        <v>38.542000000000002</v>
      </c>
      <c r="F13" s="75">
        <v>42.652999999999999</v>
      </c>
      <c r="G13" s="59" t="s">
        <v>91</v>
      </c>
      <c r="H13" s="60">
        <f t="shared" si="4"/>
        <v>3.6</v>
      </c>
      <c r="I13" s="76">
        <v>4</v>
      </c>
      <c r="J13" s="61">
        <f t="shared" si="2"/>
        <v>42.142000000000003</v>
      </c>
      <c r="K13" s="61">
        <f t="shared" si="3"/>
        <v>46.652999999999999</v>
      </c>
    </row>
    <row r="14" spans="1:11" hidden="1" x14ac:dyDescent="0.2">
      <c r="A14" s="62">
        <v>12</v>
      </c>
      <c r="B14" s="62" t="s">
        <v>92</v>
      </c>
      <c r="C14" s="62" t="s">
        <v>94</v>
      </c>
      <c r="D14" s="62" t="str">
        <f t="shared" si="0"/>
        <v>Salice Futura 12"</v>
      </c>
      <c r="E14" s="64">
        <v>12.372</v>
      </c>
      <c r="F14" s="75">
        <v>13.657999999999999</v>
      </c>
      <c r="G14" s="59" t="s">
        <v>93</v>
      </c>
      <c r="H14" s="60">
        <v>2.4700000000000002</v>
      </c>
      <c r="I14" s="76">
        <v>2.72</v>
      </c>
      <c r="J14" s="61">
        <f t="shared" si="2"/>
        <v>14.842000000000001</v>
      </c>
      <c r="K14" s="61">
        <f t="shared" si="3"/>
        <v>16.378</v>
      </c>
    </row>
    <row r="15" spans="1:11" hidden="1" x14ac:dyDescent="0.2">
      <c r="A15" s="62">
        <v>15</v>
      </c>
      <c r="B15" s="62" t="s">
        <v>92</v>
      </c>
      <c r="C15" s="62" t="s">
        <v>95</v>
      </c>
      <c r="D15" s="62" t="str">
        <f t="shared" si="0"/>
        <v>Salice Futura 15"</v>
      </c>
      <c r="E15" s="64">
        <v>13.553000000000001</v>
      </c>
      <c r="F15" s="75">
        <v>14.961</v>
      </c>
      <c r="G15" s="59" t="s">
        <v>93</v>
      </c>
      <c r="H15" s="60">
        <v>2.4700000000000002</v>
      </c>
      <c r="I15" s="76">
        <v>2.72</v>
      </c>
      <c r="J15" s="61">
        <f t="shared" si="2"/>
        <v>16.023</v>
      </c>
      <c r="K15" s="61">
        <f t="shared" si="3"/>
        <v>17.681000000000001</v>
      </c>
    </row>
    <row r="16" spans="1:11" hidden="1" x14ac:dyDescent="0.2">
      <c r="A16" s="62">
        <v>18</v>
      </c>
      <c r="B16" s="62" t="s">
        <v>92</v>
      </c>
      <c r="C16" s="62" t="s">
        <v>96</v>
      </c>
      <c r="D16" s="62" t="str">
        <f t="shared" si="0"/>
        <v>Salice Futura 18"</v>
      </c>
      <c r="E16" s="64">
        <v>13.000999999999999</v>
      </c>
      <c r="F16" s="75">
        <v>14.351000000000001</v>
      </c>
      <c r="G16" s="59" t="s">
        <v>93</v>
      </c>
      <c r="H16" s="60">
        <v>2.4700000000000002</v>
      </c>
      <c r="I16" s="76">
        <v>2.72</v>
      </c>
      <c r="J16" s="61">
        <f t="shared" si="2"/>
        <v>15.471</v>
      </c>
      <c r="K16" s="61">
        <f t="shared" si="3"/>
        <v>17.071000000000002</v>
      </c>
    </row>
    <row r="17" spans="1:11" hidden="1" x14ac:dyDescent="0.2">
      <c r="A17" s="62">
        <v>21</v>
      </c>
      <c r="B17" s="62" t="s">
        <v>92</v>
      </c>
      <c r="C17" s="62" t="s">
        <v>97</v>
      </c>
      <c r="D17" s="62" t="str">
        <f t="shared" si="0"/>
        <v>Salice Futura 21"</v>
      </c>
      <c r="E17" s="64">
        <v>14.148</v>
      </c>
      <c r="F17" s="75">
        <v>15.618</v>
      </c>
      <c r="G17" s="59" t="s">
        <v>93</v>
      </c>
      <c r="H17" s="60">
        <v>2.4700000000000002</v>
      </c>
      <c r="I17" s="76">
        <v>2.72</v>
      </c>
      <c r="J17" s="61">
        <f t="shared" si="2"/>
        <v>16.617999999999999</v>
      </c>
      <c r="K17" s="61">
        <f t="shared" si="3"/>
        <v>18.338000000000001</v>
      </c>
    </row>
    <row r="18" spans="1:11" hidden="1" x14ac:dyDescent="0.2">
      <c r="A18" s="62">
        <v>15</v>
      </c>
      <c r="B18" s="62" t="s">
        <v>98</v>
      </c>
      <c r="C18" s="62" t="s">
        <v>99</v>
      </c>
      <c r="D18" s="62" t="str">
        <f t="shared" si="0"/>
        <v>Salice F70 15"</v>
      </c>
      <c r="E18" s="64">
        <v>23.847999999999999</v>
      </c>
      <c r="F18" s="75">
        <v>37.972999999999999</v>
      </c>
      <c r="G18" s="59" t="s">
        <v>105</v>
      </c>
      <c r="H18" s="60">
        <v>2.677</v>
      </c>
      <c r="I18" s="76">
        <v>2.86</v>
      </c>
      <c r="J18" s="61">
        <f t="shared" si="2"/>
        <v>26.524999999999999</v>
      </c>
      <c r="K18" s="61">
        <f t="shared" si="3"/>
        <v>40.832999999999998</v>
      </c>
    </row>
    <row r="19" spans="1:11" hidden="1" x14ac:dyDescent="0.2">
      <c r="A19" s="62">
        <v>18</v>
      </c>
      <c r="B19" s="62" t="s">
        <v>98</v>
      </c>
      <c r="C19" s="62" t="s">
        <v>100</v>
      </c>
      <c r="D19" s="62" t="str">
        <f t="shared" si="0"/>
        <v>Salice F70 18"</v>
      </c>
      <c r="E19" s="64">
        <v>24.687999999999999</v>
      </c>
      <c r="F19" s="75">
        <v>27.321000000000002</v>
      </c>
      <c r="G19" s="59" t="s">
        <v>105</v>
      </c>
      <c r="H19" s="60">
        <v>2.677</v>
      </c>
      <c r="I19" s="76">
        <v>2.86</v>
      </c>
      <c r="J19" s="61">
        <f t="shared" ref="J19:J23" si="5">IF(AND(E19 &lt;&gt;0,H19&lt;&gt;0), E19+H19,0)</f>
        <v>27.364999999999998</v>
      </c>
      <c r="K19" s="61">
        <f t="shared" si="3"/>
        <v>30.181000000000001</v>
      </c>
    </row>
    <row r="20" spans="1:11" hidden="1" x14ac:dyDescent="0.2">
      <c r="A20" s="62">
        <v>21</v>
      </c>
      <c r="B20" s="62" t="s">
        <v>98</v>
      </c>
      <c r="C20" s="62" t="s">
        <v>101</v>
      </c>
      <c r="D20" s="62" t="str">
        <f t="shared" si="0"/>
        <v>Salice F70 21"</v>
      </c>
      <c r="E20" s="64">
        <v>25.326000000000001</v>
      </c>
      <c r="F20" s="75">
        <v>28.027000000000001</v>
      </c>
      <c r="G20" s="59" t="s">
        <v>105</v>
      </c>
      <c r="H20" s="60">
        <v>2.677</v>
      </c>
      <c r="I20" s="76">
        <v>2.86</v>
      </c>
      <c r="J20" s="61">
        <f t="shared" si="5"/>
        <v>28.003</v>
      </c>
      <c r="K20" s="61">
        <f t="shared" si="3"/>
        <v>30.887</v>
      </c>
    </row>
    <row r="21" spans="1:11" hidden="1" x14ac:dyDescent="0.2">
      <c r="A21" s="62">
        <v>24</v>
      </c>
      <c r="B21" s="62" t="s">
        <v>98</v>
      </c>
      <c r="C21" s="62" t="s">
        <v>102</v>
      </c>
      <c r="D21" s="62" t="str">
        <f t="shared" si="0"/>
        <v>Salice F70 24"</v>
      </c>
      <c r="E21" s="64">
        <v>32.527000000000001</v>
      </c>
      <c r="F21" s="75">
        <v>35.997</v>
      </c>
      <c r="G21" s="59" t="s">
        <v>105</v>
      </c>
      <c r="H21" s="60">
        <v>2.677</v>
      </c>
      <c r="I21" s="76">
        <v>2.86</v>
      </c>
      <c r="J21" s="61">
        <f t="shared" si="5"/>
        <v>35.204000000000001</v>
      </c>
      <c r="K21" s="61">
        <f t="shared" si="3"/>
        <v>38.856999999999999</v>
      </c>
    </row>
    <row r="22" spans="1:11" hidden="1" x14ac:dyDescent="0.2">
      <c r="A22" s="62">
        <v>27</v>
      </c>
      <c r="B22" s="62" t="s">
        <v>98</v>
      </c>
      <c r="C22" s="62" t="s">
        <v>103</v>
      </c>
      <c r="D22" s="62" t="str">
        <f t="shared" si="0"/>
        <v>Salice F70 27"</v>
      </c>
      <c r="E22" s="64">
        <v>35.387</v>
      </c>
      <c r="F22" s="75">
        <v>39.161999999999999</v>
      </c>
      <c r="G22" s="59" t="s">
        <v>105</v>
      </c>
      <c r="H22" s="60">
        <v>2.677</v>
      </c>
      <c r="I22" s="76">
        <v>2.86</v>
      </c>
      <c r="J22" s="61">
        <f t="shared" si="5"/>
        <v>38.064</v>
      </c>
      <c r="K22" s="61">
        <f t="shared" si="3"/>
        <v>42.021999999999998</v>
      </c>
    </row>
    <row r="23" spans="1:11" hidden="1" x14ac:dyDescent="0.2">
      <c r="A23" s="62">
        <v>30</v>
      </c>
      <c r="B23" s="62" t="s">
        <v>98</v>
      </c>
      <c r="C23" s="62" t="s">
        <v>104</v>
      </c>
      <c r="D23" s="62" t="str">
        <f t="shared" si="0"/>
        <v>Salice F70 30"</v>
      </c>
      <c r="E23" s="64">
        <v>37.551000000000002</v>
      </c>
      <c r="F23" s="75">
        <v>41.557000000000002</v>
      </c>
      <c r="G23" s="59" t="s">
        <v>105</v>
      </c>
      <c r="H23" s="60">
        <v>2.677</v>
      </c>
      <c r="I23" s="76">
        <v>2.86</v>
      </c>
      <c r="J23" s="61">
        <f t="shared" si="5"/>
        <v>40.228000000000002</v>
      </c>
      <c r="K23" s="61">
        <f t="shared" si="3"/>
        <v>44.417000000000002</v>
      </c>
    </row>
    <row r="24" spans="1:11" hidden="1" x14ac:dyDescent="0.2"/>
    <row r="25" spans="1:11" hidden="1" x14ac:dyDescent="0.2"/>
    <row r="26" spans="1:11" hidden="1" x14ac:dyDescent="0.2"/>
    <row r="27" spans="1:11" ht="17" hidden="1" thickBot="1" x14ac:dyDescent="0.25"/>
    <row r="28" spans="1:11" hidden="1" x14ac:dyDescent="0.2">
      <c r="A28" s="77"/>
      <c r="B28" s="94" t="s">
        <v>120</v>
      </c>
    </row>
    <row r="29" spans="1:11" hidden="1" x14ac:dyDescent="0.2">
      <c r="A29" s="80" t="s">
        <v>59</v>
      </c>
      <c r="B29" s="81">
        <f>'Box Calculator'!K38*0.75</f>
        <v>0</v>
      </c>
    </row>
    <row r="30" spans="1:11" hidden="1" x14ac:dyDescent="0.2">
      <c r="A30" s="80" t="s">
        <v>64</v>
      </c>
      <c r="B30" s="81">
        <f>'Box Calculator'!K39</f>
        <v>0</v>
      </c>
    </row>
    <row r="31" spans="1:11" hidden="1" x14ac:dyDescent="0.2">
      <c r="A31" s="80" t="s">
        <v>4</v>
      </c>
      <c r="B31" s="81">
        <f>'Box Calculator'!K40</f>
        <v>0</v>
      </c>
    </row>
    <row r="32" spans="1:11" hidden="1" x14ac:dyDescent="0.2">
      <c r="A32" s="80" t="s">
        <v>1</v>
      </c>
      <c r="B32" s="81">
        <f>'Box Calculator'!K41</f>
        <v>0</v>
      </c>
    </row>
    <row r="33" spans="1:2" hidden="1" x14ac:dyDescent="0.2">
      <c r="A33" s="80" t="s">
        <v>110</v>
      </c>
      <c r="B33" s="81">
        <f>'Box Calculator'!K44</f>
        <v>0</v>
      </c>
    </row>
    <row r="34" spans="1:2" hidden="1" x14ac:dyDescent="0.2">
      <c r="A34" s="80" t="s">
        <v>111</v>
      </c>
      <c r="B34" s="81">
        <f>'Box Calculator'!K47</f>
        <v>0</v>
      </c>
    </row>
    <row r="35" spans="1:2" ht="17" hidden="1" thickBot="1" x14ac:dyDescent="0.25">
      <c r="A35" s="80" t="s">
        <v>112</v>
      </c>
      <c r="B35" s="81">
        <f>'Box Calculator'!K48</f>
        <v>0</v>
      </c>
    </row>
    <row r="36" spans="1:2" ht="17" hidden="1" thickBot="1" x14ac:dyDescent="0.25">
      <c r="A36" s="8" t="s">
        <v>121</v>
      </c>
      <c r="B36" s="83">
        <f>SUM(B29:B35)</f>
        <v>0</v>
      </c>
    </row>
    <row r="37" spans="1:2" hidden="1" x14ac:dyDescent="0.2"/>
  </sheetData>
  <sheetProtection algorithmName="SHA-512" hashValue="6hwGEdJog1cg094bAGg5TylM0xc8NgudXPMEUJn/CKNCzwLPhSfnVRc8HJMrGSGNXAZebcJ2fqapQvniaBxpkw==" saltValue="ybjV5ltQKVIxhIdOKweM9Q==" spinCount="100000" sheet="1" objects="1" scenarios="1"/>
  <phoneticPr fontId="1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Box Calculator</vt:lpstr>
      <vt:lpstr>Official Only</vt:lpstr>
      <vt:lpstr>'Box Calculator'!color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Ming Li</cp:lastModifiedBy>
  <dcterms:created xsi:type="dcterms:W3CDTF">2023-08-14T07:51:36Z</dcterms:created>
  <dcterms:modified xsi:type="dcterms:W3CDTF">2023-10-03T21:39:36Z</dcterms:modified>
</cp:coreProperties>
</file>